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ckefeller Institute\Departments\Central Staff\Publications\Yearbooks 2002-17\Yearbook Compilation\Elections (D)\"/>
    </mc:Choice>
  </mc:AlternateContent>
  <bookViews>
    <workbookView xWindow="0" yWindow="0" windowWidth="28800" windowHeight="11835"/>
  </bookViews>
  <sheets>
    <sheet name="2018" sheetId="3" r:id="rId1"/>
    <sheet name="2016" sheetId="4" r:id="rId2"/>
    <sheet name="2014" sheetId="5" r:id="rId3"/>
    <sheet name="2012" sheetId="6" r:id="rId4"/>
    <sheet name="2010" sheetId="7" r:id="rId5"/>
    <sheet name="2008" sheetId="8" r:id="rId6"/>
    <sheet name="2006" sheetId="9" r:id="rId7"/>
    <sheet name="2004" sheetId="10" r:id="rId8"/>
    <sheet name="2002" sheetId="11" r:id="rId9"/>
    <sheet name="2000" sheetId="12" r:id="rId10"/>
    <sheet name="1998" sheetId="13" r:id="rId11"/>
    <sheet name="1996" sheetId="14" r:id="rId12"/>
  </sheets>
  <definedNames>
    <definedName name="_xlnm.Print_Area" localSheetId="11">'1996'!$A$1:$K$202</definedName>
    <definedName name="_xlnm.Print_Area" localSheetId="10">'1998'!$A$1:$M$199</definedName>
    <definedName name="_xlnm.Print_Area" localSheetId="9">'2000'!$A$1:$N$201</definedName>
    <definedName name="_xlnm.Print_Area" localSheetId="8">'2002'!$A$1:$M$198</definedName>
    <definedName name="_xlnm.Print_Area" localSheetId="7">'2004'!$A$1:$K$203</definedName>
    <definedName name="_xlnm.Print_Area" localSheetId="6">'2006'!$A$1:$I$206</definedName>
    <definedName name="_xlnm.Print_Area" localSheetId="4">'2010'!$A$1:$J$205</definedName>
    <definedName name="_xlnm.Print_Area" localSheetId="3">'2012'!$A$1:$J$203</definedName>
    <definedName name="_xlnm.Print_Area" localSheetId="1">'2016'!$A$1:$M$216</definedName>
    <definedName name="_xlnm.Print_Area" localSheetId="0">'2018'!$A$1:$M$77</definedName>
  </definedNames>
  <calcPr calcId="162913"/>
</workbook>
</file>

<file path=xl/calcChain.xml><?xml version="1.0" encoding="utf-8"?>
<calcChain xmlns="http://schemas.openxmlformats.org/spreadsheetml/2006/main">
  <c r="N177" i="3" l="1"/>
  <c r="J45" i="8" l="1"/>
  <c r="H45" i="8"/>
  <c r="I87" i="7"/>
  <c r="K87" i="7" s="1"/>
  <c r="N101" i="4"/>
  <c r="L101" i="4"/>
  <c r="N128" i="4"/>
  <c r="L128" i="4"/>
  <c r="N110" i="4"/>
  <c r="L110" i="4"/>
  <c r="N189" i="11" l="1"/>
  <c r="N186" i="11"/>
  <c r="N183" i="11"/>
  <c r="N180" i="11"/>
  <c r="N177" i="11"/>
  <c r="N174" i="11"/>
  <c r="N171" i="11"/>
  <c r="N168" i="11"/>
  <c r="N165" i="11"/>
  <c r="N162" i="11"/>
  <c r="N159" i="11"/>
  <c r="N156" i="11"/>
  <c r="N153" i="11"/>
  <c r="N150" i="11"/>
  <c r="N147" i="11"/>
  <c r="N144" i="11"/>
  <c r="N141" i="11"/>
  <c r="N138" i="11"/>
  <c r="N135" i="11"/>
  <c r="N132" i="11"/>
  <c r="N129" i="11"/>
  <c r="N126" i="11"/>
  <c r="N123" i="11"/>
  <c r="N120" i="11"/>
  <c r="N117" i="11"/>
  <c r="N114" i="11"/>
  <c r="N111" i="11"/>
  <c r="N108" i="11"/>
  <c r="N105" i="11"/>
  <c r="N102" i="11"/>
  <c r="N99" i="11"/>
  <c r="N96" i="11"/>
  <c r="N93" i="11"/>
  <c r="N90" i="11"/>
  <c r="N87" i="11"/>
  <c r="N84" i="11"/>
  <c r="N81" i="11"/>
  <c r="N78" i="11"/>
  <c r="N75" i="11"/>
  <c r="N72" i="11"/>
  <c r="N69" i="11"/>
  <c r="N66" i="11"/>
  <c r="N63" i="11"/>
  <c r="N60" i="11"/>
  <c r="N57" i="11"/>
  <c r="N54" i="11"/>
  <c r="N51" i="11"/>
  <c r="N48" i="11"/>
  <c r="N45" i="11"/>
  <c r="N42" i="11"/>
  <c r="N39" i="11"/>
  <c r="N36" i="11"/>
  <c r="N33" i="11"/>
  <c r="N30" i="11"/>
  <c r="N27" i="11"/>
  <c r="N24" i="11"/>
  <c r="N21" i="11"/>
  <c r="N18" i="11"/>
  <c r="N15" i="11"/>
  <c r="N12" i="11"/>
  <c r="N9" i="11"/>
  <c r="N6" i="11"/>
  <c r="J108" i="10"/>
  <c r="J193" i="8"/>
  <c r="J190" i="8"/>
  <c r="J187" i="8"/>
  <c r="J184" i="8"/>
  <c r="J181" i="8"/>
  <c r="J178" i="8"/>
  <c r="J175" i="8"/>
  <c r="J172" i="8"/>
  <c r="J169" i="8"/>
  <c r="J166" i="8"/>
  <c r="J163" i="8"/>
  <c r="J160" i="8"/>
  <c r="J157" i="8"/>
  <c r="J154" i="8"/>
  <c r="J150" i="8"/>
  <c r="J147" i="8"/>
  <c r="J144" i="8"/>
  <c r="J141" i="8"/>
  <c r="J138" i="8"/>
  <c r="J135" i="8"/>
  <c r="J132" i="8"/>
  <c r="J129" i="8"/>
  <c r="J126" i="8"/>
  <c r="J123" i="8"/>
  <c r="J120" i="8"/>
  <c r="J117" i="8"/>
  <c r="J114" i="8"/>
  <c r="J111" i="8"/>
  <c r="J108" i="8"/>
  <c r="J105" i="8"/>
  <c r="J102" i="8"/>
  <c r="J99" i="8"/>
  <c r="J96" i="8"/>
  <c r="J93" i="8"/>
  <c r="J90" i="8"/>
  <c r="J87" i="8"/>
  <c r="J84" i="8"/>
  <c r="J81" i="8"/>
  <c r="J78" i="8"/>
  <c r="J75" i="8"/>
  <c r="J72" i="8"/>
  <c r="J69" i="8"/>
  <c r="J66" i="8"/>
  <c r="J63" i="8"/>
  <c r="J60" i="8"/>
  <c r="J57" i="8"/>
  <c r="J54" i="8"/>
  <c r="J51" i="8"/>
  <c r="J48" i="8"/>
  <c r="J42" i="8"/>
  <c r="J39" i="8"/>
  <c r="J36" i="8"/>
  <c r="J33" i="8"/>
  <c r="J30" i="8"/>
  <c r="J27" i="8"/>
  <c r="J24" i="8"/>
  <c r="J21" i="8"/>
  <c r="J18" i="8"/>
  <c r="J15" i="8"/>
  <c r="J12" i="8"/>
  <c r="J9" i="8"/>
  <c r="J6" i="8"/>
  <c r="K193" i="7" l="1"/>
  <c r="K190" i="7"/>
  <c r="K187" i="7"/>
  <c r="K184" i="7"/>
  <c r="K181" i="7"/>
  <c r="K178" i="7"/>
  <c r="K175" i="7"/>
  <c r="K172" i="7"/>
  <c r="K169" i="7"/>
  <c r="K166" i="7"/>
  <c r="K163" i="7"/>
  <c r="K160" i="7"/>
  <c r="K157" i="7"/>
  <c r="K154" i="7"/>
  <c r="K150" i="7"/>
  <c r="K147" i="7"/>
  <c r="K144" i="7"/>
  <c r="K141" i="7"/>
  <c r="K138" i="7"/>
  <c r="K135" i="7"/>
  <c r="K132" i="7"/>
  <c r="K129" i="7"/>
  <c r="K126" i="7"/>
  <c r="K123" i="7"/>
  <c r="K120" i="7"/>
  <c r="K117" i="7"/>
  <c r="K114" i="7"/>
  <c r="K111" i="7"/>
  <c r="K108" i="7"/>
  <c r="K105" i="7"/>
  <c r="K102" i="7"/>
  <c r="K99" i="7"/>
  <c r="K96" i="7"/>
  <c r="K93" i="7"/>
  <c r="K90" i="7"/>
  <c r="K84" i="7"/>
  <c r="K81" i="7"/>
  <c r="K78" i="7"/>
  <c r="K75" i="7"/>
  <c r="K72" i="7"/>
  <c r="K69" i="7"/>
  <c r="K66" i="7"/>
  <c r="K63" i="7"/>
  <c r="K60" i="7"/>
  <c r="K57" i="7"/>
  <c r="K54" i="7"/>
  <c r="K51" i="7"/>
  <c r="K48" i="7"/>
  <c r="K45" i="7"/>
  <c r="K42" i="7"/>
  <c r="K39" i="7"/>
  <c r="K36" i="7"/>
  <c r="K33" i="7"/>
  <c r="K30" i="7"/>
  <c r="K27" i="7"/>
  <c r="K24" i="7"/>
  <c r="K21" i="7"/>
  <c r="K18" i="7"/>
  <c r="K15" i="7"/>
  <c r="K12" i="7"/>
  <c r="K9" i="7"/>
  <c r="K6" i="7"/>
  <c r="K143" i="6"/>
  <c r="K195" i="6"/>
  <c r="K192" i="6"/>
  <c r="K189" i="6"/>
  <c r="K186" i="6"/>
  <c r="K183" i="6"/>
  <c r="K180" i="6"/>
  <c r="K177" i="6"/>
  <c r="K174" i="6"/>
  <c r="K171" i="6"/>
  <c r="K168" i="6"/>
  <c r="K165" i="6"/>
  <c r="K162" i="6"/>
  <c r="K159" i="6"/>
  <c r="K156" i="6"/>
  <c r="K153" i="6"/>
  <c r="K149" i="6"/>
  <c r="K146" i="6"/>
  <c r="K140" i="6"/>
  <c r="K137" i="6"/>
  <c r="K134" i="6"/>
  <c r="K131" i="6"/>
  <c r="K128" i="6"/>
  <c r="K125" i="6"/>
  <c r="K122" i="6"/>
  <c r="K119" i="6"/>
  <c r="K116" i="6"/>
  <c r="K113" i="6"/>
  <c r="K110" i="6"/>
  <c r="K107" i="6"/>
  <c r="K104" i="6"/>
  <c r="K101" i="6"/>
  <c r="K98" i="6"/>
  <c r="K95" i="6"/>
  <c r="K92" i="6"/>
  <c r="K89" i="6"/>
  <c r="K86" i="6"/>
  <c r="K83" i="6"/>
  <c r="K80" i="6"/>
  <c r="K77" i="6"/>
  <c r="K74" i="6"/>
  <c r="K71" i="6"/>
  <c r="K68" i="6"/>
  <c r="K65" i="6"/>
  <c r="K62" i="6"/>
  <c r="K59" i="6"/>
  <c r="K54" i="6"/>
  <c r="K51" i="6"/>
  <c r="K48" i="6"/>
  <c r="K45" i="6"/>
  <c r="K42" i="6"/>
  <c r="K39" i="6"/>
  <c r="K36" i="6"/>
  <c r="K33" i="6"/>
  <c r="K30" i="6"/>
  <c r="K27" i="6"/>
  <c r="K24" i="6"/>
  <c r="K21" i="6"/>
  <c r="K18" i="6"/>
  <c r="K15" i="6"/>
  <c r="K12" i="6"/>
  <c r="K9" i="6"/>
  <c r="K6" i="6"/>
  <c r="M198" i="5"/>
  <c r="M195" i="5"/>
  <c r="M192" i="5"/>
  <c r="M189" i="5"/>
  <c r="M186" i="5"/>
  <c r="M183" i="5"/>
  <c r="M180" i="5"/>
  <c r="M177" i="5"/>
  <c r="M174" i="5"/>
  <c r="M171" i="5"/>
  <c r="M168" i="5"/>
  <c r="M162" i="5"/>
  <c r="M159" i="5"/>
  <c r="M156" i="5"/>
  <c r="M153" i="5"/>
  <c r="M150" i="5"/>
  <c r="M147" i="5"/>
  <c r="M144" i="5"/>
  <c r="M141" i="5"/>
  <c r="M138" i="5"/>
  <c r="M135" i="5"/>
  <c r="M132" i="5"/>
  <c r="M129" i="5"/>
  <c r="M126" i="5"/>
  <c r="M123" i="5"/>
  <c r="M120" i="5"/>
  <c r="M117" i="5"/>
  <c r="M114" i="5"/>
  <c r="M111" i="5"/>
  <c r="M108" i="5"/>
  <c r="M105" i="5"/>
  <c r="M102" i="5"/>
  <c r="M99" i="5"/>
  <c r="M96" i="5"/>
  <c r="M93" i="5"/>
  <c r="M90" i="5"/>
  <c r="M87" i="5"/>
  <c r="M84" i="5"/>
  <c r="M81" i="5"/>
  <c r="M78" i="5"/>
  <c r="M75" i="5"/>
  <c r="M72" i="5"/>
  <c r="M69" i="5"/>
  <c r="M66" i="5"/>
  <c r="M60" i="5"/>
  <c r="M57" i="5"/>
  <c r="M54" i="5"/>
  <c r="M51" i="5"/>
  <c r="M48" i="5"/>
  <c r="M45" i="5"/>
  <c r="M42" i="5"/>
  <c r="M39" i="5"/>
  <c r="M36" i="5"/>
  <c r="M33" i="5"/>
  <c r="M30" i="5"/>
  <c r="M27" i="5"/>
  <c r="M24" i="5"/>
  <c r="M21" i="5"/>
  <c r="M18" i="5"/>
  <c r="M15" i="5"/>
  <c r="M12" i="5"/>
  <c r="M9" i="5"/>
  <c r="M6" i="5"/>
  <c r="L84" i="4"/>
  <c r="L161" i="4"/>
  <c r="N161" i="4" s="1"/>
  <c r="N206" i="4"/>
  <c r="L203" i="4"/>
  <c r="N203" i="4" s="1"/>
  <c r="L200" i="4"/>
  <c r="N200" i="4" s="1"/>
  <c r="N197" i="4"/>
  <c r="L194" i="4"/>
  <c r="N194" i="4" s="1"/>
  <c r="L191" i="4"/>
  <c r="N191" i="4" s="1"/>
  <c r="L188" i="4"/>
  <c r="N188" i="4" s="1"/>
  <c r="L185" i="4"/>
  <c r="N185" i="4" s="1"/>
  <c r="L182" i="4"/>
  <c r="N182" i="4" s="1"/>
  <c r="L179" i="4"/>
  <c r="N179" i="4" s="1"/>
  <c r="L176" i="4"/>
  <c r="N176" i="4" s="1"/>
  <c r="L173" i="4"/>
  <c r="N173" i="4" s="1"/>
  <c r="L170" i="4"/>
  <c r="N170" i="4" s="1"/>
  <c r="L167" i="4"/>
  <c r="N167" i="4" s="1"/>
  <c r="L164" i="4"/>
  <c r="N164" i="4" s="1"/>
  <c r="L158" i="4"/>
  <c r="N158" i="4" s="1"/>
  <c r="L155" i="4"/>
  <c r="N155" i="4" s="1"/>
  <c r="L152" i="4"/>
  <c r="N152" i="4" s="1"/>
  <c r="L149" i="4"/>
  <c r="N149" i="4" s="1"/>
  <c r="L146" i="4"/>
  <c r="N146" i="4" s="1"/>
  <c r="L143" i="4"/>
  <c r="N143" i="4" s="1"/>
  <c r="L140" i="4"/>
  <c r="N140" i="4" s="1"/>
  <c r="L137" i="4"/>
  <c r="N137" i="4" s="1"/>
  <c r="L134" i="4"/>
  <c r="N134" i="4" s="1"/>
  <c r="L131" i="4"/>
  <c r="N131" i="4" s="1"/>
  <c r="L125" i="4"/>
  <c r="N125" i="4" s="1"/>
  <c r="L122" i="4"/>
  <c r="N122" i="4" s="1"/>
  <c r="L119" i="4"/>
  <c r="N119" i="4" s="1"/>
  <c r="L116" i="4"/>
  <c r="N116" i="4" s="1"/>
  <c r="L113" i="4"/>
  <c r="N113" i="4" s="1"/>
  <c r="L107" i="4"/>
  <c r="N107" i="4" s="1"/>
  <c r="L104" i="4"/>
  <c r="N104" i="4" s="1"/>
  <c r="L98" i="4"/>
  <c r="N98" i="4" s="1"/>
  <c r="L95" i="4"/>
  <c r="N95" i="4" s="1"/>
  <c r="L90" i="4"/>
  <c r="N90" i="4" s="1"/>
  <c r="L87" i="4"/>
  <c r="N87" i="4" s="1"/>
  <c r="L81" i="4"/>
  <c r="N81" i="4" s="1"/>
  <c r="L78" i="4"/>
  <c r="N78" i="4" s="1"/>
  <c r="L75" i="4"/>
  <c r="N75" i="4" s="1"/>
  <c r="L72" i="4"/>
  <c r="N72" i="4" s="1"/>
  <c r="L69" i="4"/>
  <c r="N69" i="4" s="1"/>
  <c r="L66" i="4"/>
  <c r="N66" i="4" s="1"/>
  <c r="L63" i="4"/>
  <c r="N63" i="4" s="1"/>
  <c r="L60" i="4"/>
  <c r="N60" i="4" s="1"/>
  <c r="L57" i="4"/>
  <c r="N57" i="4" s="1"/>
  <c r="L54" i="4"/>
  <c r="N54" i="4" s="1"/>
  <c r="L51" i="4"/>
  <c r="N51" i="4" s="1"/>
  <c r="L48" i="4"/>
  <c r="N48" i="4" s="1"/>
  <c r="L45" i="4"/>
  <c r="N45" i="4" s="1"/>
  <c r="L42" i="4"/>
  <c r="N42" i="4" s="1"/>
  <c r="L39" i="4"/>
  <c r="N39" i="4" s="1"/>
  <c r="L36" i="4"/>
  <c r="N36" i="4" s="1"/>
  <c r="L33" i="4"/>
  <c r="N33" i="4" s="1"/>
  <c r="L30" i="4"/>
  <c r="N30" i="4" s="1"/>
  <c r="L27" i="4"/>
  <c r="N27" i="4" s="1"/>
  <c r="L24" i="4"/>
  <c r="N24" i="4" s="1"/>
  <c r="L21" i="4"/>
  <c r="N21" i="4" s="1"/>
  <c r="L18" i="4"/>
  <c r="N18" i="4" s="1"/>
  <c r="L15" i="4"/>
  <c r="N15" i="4" s="1"/>
  <c r="L12" i="4"/>
  <c r="N12" i="4" s="1"/>
  <c r="L9" i="4"/>
  <c r="N9" i="4" s="1"/>
  <c r="N6" i="4"/>
  <c r="L192" i="3"/>
  <c r="L189" i="3"/>
  <c r="L183" i="3"/>
  <c r="L180" i="3"/>
  <c r="L174" i="3"/>
  <c r="L171" i="3"/>
  <c r="L168" i="3"/>
  <c r="L165" i="3"/>
  <c r="L162" i="3"/>
  <c r="L159" i="3"/>
  <c r="L156" i="3"/>
  <c r="L153" i="3"/>
  <c r="L150" i="3"/>
  <c r="L147" i="3"/>
  <c r="L144" i="3" l="1"/>
  <c r="L141" i="3"/>
  <c r="N141" i="3" s="1"/>
  <c r="L138" i="3"/>
  <c r="N138" i="3" s="1"/>
  <c r="L135" i="3"/>
  <c r="N135" i="3" s="1"/>
  <c r="L132" i="3"/>
  <c r="N132" i="3" s="1"/>
  <c r="L129" i="3"/>
  <c r="N129" i="3" s="1"/>
  <c r="L126" i="3"/>
  <c r="N126" i="3" s="1"/>
  <c r="L123" i="3"/>
  <c r="N123" i="3" s="1"/>
  <c r="L120" i="3"/>
  <c r="N120" i="3" s="1"/>
  <c r="L117" i="3"/>
  <c r="N117" i="3" s="1"/>
  <c r="L114" i="3"/>
  <c r="N114" i="3" s="1"/>
  <c r="L111" i="3"/>
  <c r="N111" i="3" s="1"/>
  <c r="L108" i="3"/>
  <c r="N108" i="3" s="1"/>
  <c r="L105" i="3"/>
  <c r="N105" i="3" s="1"/>
  <c r="L102" i="3"/>
  <c r="N102" i="3" s="1"/>
  <c r="L99" i="3"/>
  <c r="N99" i="3" s="1"/>
  <c r="L96" i="3"/>
  <c r="N96" i="3" s="1"/>
  <c r="L93" i="3"/>
  <c r="N93" i="3" s="1"/>
  <c r="L90" i="3"/>
  <c r="N90" i="3" s="1"/>
  <c r="L87" i="3"/>
  <c r="N87" i="3" s="1"/>
  <c r="L84" i="3"/>
  <c r="N84" i="3" s="1"/>
  <c r="L81" i="3"/>
  <c r="N81" i="3" s="1"/>
  <c r="L78" i="3"/>
  <c r="N78" i="3" s="1"/>
  <c r="L75" i="3"/>
  <c r="N75" i="3" s="1"/>
  <c r="L72" i="3"/>
  <c r="N72" i="3" s="1"/>
  <c r="L69" i="3"/>
  <c r="N69" i="3" s="1"/>
  <c r="L66" i="3"/>
  <c r="N66" i="3" s="1"/>
  <c r="L63" i="3"/>
  <c r="N63" i="3" s="1"/>
  <c r="L60" i="3"/>
  <c r="N60" i="3" s="1"/>
  <c r="L57" i="3"/>
  <c r="N57" i="3" s="1"/>
  <c r="L54" i="3"/>
  <c r="N54" i="3" s="1"/>
  <c r="L51" i="3"/>
  <c r="N51" i="3" s="1"/>
  <c r="L48" i="3"/>
  <c r="N48" i="3" s="1"/>
  <c r="L45" i="3"/>
  <c r="N45" i="3" s="1"/>
  <c r="L42" i="3"/>
  <c r="N42" i="3" s="1"/>
  <c r="L39" i="3"/>
  <c r="N39" i="3" s="1"/>
  <c r="L36" i="3"/>
  <c r="N36" i="3" s="1"/>
  <c r="L33" i="3"/>
  <c r="N33" i="3" s="1"/>
  <c r="L30" i="3"/>
  <c r="N30" i="3" s="1"/>
  <c r="L27" i="3"/>
  <c r="N27" i="3" s="1"/>
  <c r="L24" i="3"/>
  <c r="N24" i="3" s="1"/>
  <c r="L21" i="3"/>
  <c r="N21" i="3" s="1"/>
  <c r="L18" i="3"/>
  <c r="N18" i="3" s="1"/>
  <c r="L15" i="3"/>
  <c r="N15" i="3" s="1"/>
  <c r="L12" i="3"/>
  <c r="N12" i="3" s="1"/>
  <c r="L9" i="3"/>
  <c r="N9" i="3" s="1"/>
  <c r="L6" i="3"/>
  <c r="N6" i="3" s="1"/>
  <c r="N147" i="3"/>
  <c r="N150" i="3"/>
  <c r="N153" i="3"/>
  <c r="N156" i="3"/>
  <c r="N159" i="3"/>
  <c r="N162" i="3"/>
  <c r="N165" i="3"/>
  <c r="N168" i="3"/>
  <c r="N171" i="3"/>
  <c r="N174" i="3"/>
  <c r="N180" i="3"/>
  <c r="N183" i="3"/>
  <c r="N186" i="3"/>
  <c r="N189" i="3"/>
  <c r="N192" i="3"/>
  <c r="N195" i="3"/>
  <c r="N144" i="3" l="1"/>
</calcChain>
</file>

<file path=xl/sharedStrings.xml><?xml version="1.0" encoding="utf-8"?>
<sst xmlns="http://schemas.openxmlformats.org/spreadsheetml/2006/main" count="5160" uniqueCount="1287">
  <si>
    <t>Vote Cast for All Candidates for the Office of State Senator</t>
  </si>
  <si>
    <t>Senate District</t>
  </si>
  <si>
    <t xml:space="preserve">                   Republican</t>
  </si>
  <si>
    <t>Winner</t>
  </si>
  <si>
    <t>First</t>
  </si>
  <si>
    <t>Thirty-Fourth</t>
  </si>
  <si>
    <t>Second</t>
  </si>
  <si>
    <t>Third</t>
  </si>
  <si>
    <t>Thirty-Sixth</t>
  </si>
  <si>
    <t>Fourth</t>
  </si>
  <si>
    <t>Thirty-Seventh</t>
  </si>
  <si>
    <t xml:space="preserve">Fifth </t>
  </si>
  <si>
    <t xml:space="preserve">                    Marcellino</t>
  </si>
  <si>
    <t>Carl L. Marcellino</t>
  </si>
  <si>
    <t>Thirty-Eighth</t>
  </si>
  <si>
    <t xml:space="preserve">Sixth </t>
  </si>
  <si>
    <t xml:space="preserve">                         Hannon</t>
  </si>
  <si>
    <t>Thirty-Ninth</t>
  </si>
  <si>
    <t>Seventh</t>
  </si>
  <si>
    <t>Fortieth</t>
  </si>
  <si>
    <t>Forty-First</t>
  </si>
  <si>
    <t>Eighth</t>
  </si>
  <si>
    <t>Forty-Second</t>
  </si>
  <si>
    <t>Ninth</t>
  </si>
  <si>
    <t>Tenth</t>
  </si>
  <si>
    <t>Forty-Third</t>
  </si>
  <si>
    <t>Eleventh</t>
  </si>
  <si>
    <t>Forty-Fourth</t>
  </si>
  <si>
    <t>Twelfth</t>
  </si>
  <si>
    <t>Thirteenth</t>
  </si>
  <si>
    <t>Forty-Fifth</t>
  </si>
  <si>
    <t>Forty-Sixth</t>
  </si>
  <si>
    <t>Fourteenth</t>
  </si>
  <si>
    <t>Fifteenth</t>
  </si>
  <si>
    <t>Forty-Seventh</t>
  </si>
  <si>
    <t>Sixteenth</t>
  </si>
  <si>
    <t xml:space="preserve">                         Stavisky</t>
  </si>
  <si>
    <t>Forty-Eighth</t>
  </si>
  <si>
    <t>Seventeenth</t>
  </si>
  <si>
    <t>Forty-Ninth</t>
  </si>
  <si>
    <t>John A. DeFrancisco</t>
  </si>
  <si>
    <t>Eighteenth</t>
  </si>
  <si>
    <t>Velmanette Montgomery</t>
  </si>
  <si>
    <t>Fiftieth</t>
  </si>
  <si>
    <t>James L. Seward</t>
  </si>
  <si>
    <t>Nineteenth</t>
  </si>
  <si>
    <t>Fifty-First</t>
  </si>
  <si>
    <t>Twentieth</t>
  </si>
  <si>
    <t>Fifty-Second</t>
  </si>
  <si>
    <t>Twenty-First</t>
  </si>
  <si>
    <t>Fifty-Third</t>
  </si>
  <si>
    <t>Fifty-Fourth</t>
  </si>
  <si>
    <t>Twenty-Second</t>
  </si>
  <si>
    <t>Fifty-Fifth</t>
  </si>
  <si>
    <t>Twenty-Third</t>
  </si>
  <si>
    <t>Fifty-Sixth</t>
  </si>
  <si>
    <t>Twenty-Fourth</t>
  </si>
  <si>
    <t>Fifty-Seventh</t>
  </si>
  <si>
    <t>Twenty-Fifth</t>
  </si>
  <si>
    <t>Twenty-Sixth</t>
  </si>
  <si>
    <t>Fifty-Eighth</t>
  </si>
  <si>
    <t>Fifty-Ninth</t>
  </si>
  <si>
    <t>Sixtieth</t>
  </si>
  <si>
    <t>Twenty-Seventh</t>
  </si>
  <si>
    <t>Sixty-First</t>
  </si>
  <si>
    <t>Twenty-Eighth</t>
  </si>
  <si>
    <t>1  Political party abbreviations:</t>
  </si>
  <si>
    <t>Twenty-Ninth</t>
  </si>
  <si>
    <t>Thirtieth</t>
  </si>
  <si>
    <t>Thirty-First</t>
  </si>
  <si>
    <t>Thirty-Second</t>
  </si>
  <si>
    <t>Thirty-Third</t>
  </si>
  <si>
    <t>Breslin</t>
  </si>
  <si>
    <t xml:space="preserve">                     Democratic</t>
  </si>
  <si>
    <t>LaValle</t>
  </si>
  <si>
    <t>Marcellino</t>
  </si>
  <si>
    <t>Hannon</t>
  </si>
  <si>
    <t>Toby Ann Stavisky</t>
  </si>
  <si>
    <t>Krueger</t>
  </si>
  <si>
    <t>Liz Krueger</t>
  </si>
  <si>
    <t>Independence</t>
  </si>
  <si>
    <t>Flanagan</t>
  </si>
  <si>
    <t>John J. Flanagan</t>
  </si>
  <si>
    <t>Parker</t>
  </si>
  <si>
    <t>Kevin S. Parker</t>
  </si>
  <si>
    <t>Golden</t>
  </si>
  <si>
    <t>Little</t>
  </si>
  <si>
    <t>DeFrancisco</t>
  </si>
  <si>
    <t>Seward</t>
  </si>
  <si>
    <t>Robach</t>
  </si>
  <si>
    <t>Joseph E. Robach</t>
  </si>
  <si>
    <t>Sixty-Second</t>
  </si>
  <si>
    <t>Neil D. Breslin</t>
  </si>
  <si>
    <t>Savino</t>
  </si>
  <si>
    <t>Diane J. Savino</t>
  </si>
  <si>
    <t>Serrano</t>
  </si>
  <si>
    <t>Klein</t>
  </si>
  <si>
    <t>Stewart-Cousins</t>
  </si>
  <si>
    <t>Valesky</t>
  </si>
  <si>
    <t>Elizabeth O'C. Little</t>
  </si>
  <si>
    <t>Young</t>
  </si>
  <si>
    <t>Conservative</t>
  </si>
  <si>
    <t>Lanza</t>
  </si>
  <si>
    <t>Andrew J. Lanza</t>
  </si>
  <si>
    <t>Thirty-Fifth</t>
  </si>
  <si>
    <t>Andrea Stewart-Cousins</t>
  </si>
  <si>
    <t>Griffo</t>
  </si>
  <si>
    <t>Addabbo, Jr.</t>
  </si>
  <si>
    <t>Joseph P. Addabbo, Jr.</t>
  </si>
  <si>
    <t>Jose M. Serrano</t>
  </si>
  <si>
    <t>David J. Valesky</t>
  </si>
  <si>
    <t>Ranzenhofer</t>
  </si>
  <si>
    <t>Michael H. Ranzenhofer</t>
  </si>
  <si>
    <t xml:space="preserve">                          LaValle</t>
  </si>
  <si>
    <t>Kenneth P. LaValle</t>
  </si>
  <si>
    <t>Catharine M. Young</t>
  </si>
  <si>
    <t>Avella</t>
  </si>
  <si>
    <t>Gianaris</t>
  </si>
  <si>
    <t>Michael N. Gianaris</t>
  </si>
  <si>
    <t>Peralta</t>
  </si>
  <si>
    <t>Stavisky</t>
  </si>
  <si>
    <t>Montgomery</t>
  </si>
  <si>
    <t>Rivera</t>
  </si>
  <si>
    <t>J. Gustavo Rivera</t>
  </si>
  <si>
    <t>Diamond</t>
  </si>
  <si>
    <t>Carlucci</t>
  </si>
  <si>
    <t>Ritchie</t>
  </si>
  <si>
    <t>O'Mara</t>
  </si>
  <si>
    <t>Thomas F. O'Mara</t>
  </si>
  <si>
    <t>Kennedy</t>
  </si>
  <si>
    <t>Timothy M. Kennedy</t>
  </si>
  <si>
    <t>Gallivan</t>
  </si>
  <si>
    <t>Patrick M. Gallivan</t>
  </si>
  <si>
    <t>Patricia A. Ritchie</t>
  </si>
  <si>
    <t xml:space="preserve">    TRP — Tax Revolt Party</t>
  </si>
  <si>
    <t>Joseph A. Griffo</t>
  </si>
  <si>
    <t>Boyle</t>
  </si>
  <si>
    <t>Philip M. Boyle</t>
  </si>
  <si>
    <t>James Sanders, Jr.</t>
  </si>
  <si>
    <t>Felder</t>
  </si>
  <si>
    <t>Simcha Felder</t>
  </si>
  <si>
    <t>Hoylman</t>
  </si>
  <si>
    <t>Brad M. Hoylman</t>
  </si>
  <si>
    <t>David Carlucci</t>
  </si>
  <si>
    <t>Amedore, Jr.</t>
  </si>
  <si>
    <t>George A. Amedore, Jr.</t>
  </si>
  <si>
    <t>Sixty-Third</t>
  </si>
  <si>
    <t>Sanders, Jr.</t>
  </si>
  <si>
    <t>Comrie, Jr.</t>
  </si>
  <si>
    <t>Leroy G. Comrie, Jr.</t>
  </si>
  <si>
    <t>Hamilton</t>
  </si>
  <si>
    <t>Stern</t>
  </si>
  <si>
    <t>Murphy</t>
  </si>
  <si>
    <t>Serino</t>
  </si>
  <si>
    <t>Susan J. Serino</t>
  </si>
  <si>
    <t>Funke</t>
  </si>
  <si>
    <t>Rich Funke</t>
  </si>
  <si>
    <t>Ortt</t>
  </si>
  <si>
    <t>Robert G. Ortt</t>
  </si>
  <si>
    <t>Fischer</t>
  </si>
  <si>
    <t>Gaughran</t>
  </si>
  <si>
    <t>Phillips</t>
  </si>
  <si>
    <t>Brooks</t>
  </si>
  <si>
    <t>John E. Brooks</t>
  </si>
  <si>
    <t>Kaminsky</t>
  </si>
  <si>
    <t>Todd D. Kaminsky</t>
  </si>
  <si>
    <t>Persaud</t>
  </si>
  <si>
    <t>Roxanne J. Persaud</t>
  </si>
  <si>
    <t>Kelly</t>
  </si>
  <si>
    <t>Colon</t>
  </si>
  <si>
    <t>Alcantara</t>
  </si>
  <si>
    <t>Crump</t>
  </si>
  <si>
    <t>Denis</t>
  </si>
  <si>
    <t>Bailey</t>
  </si>
  <si>
    <t>James T. Bailey</t>
  </si>
  <si>
    <t>Davis</t>
  </si>
  <si>
    <t>Tedisco</t>
  </si>
  <si>
    <t>Putman</t>
  </si>
  <si>
    <t>James N. Tedisco</t>
  </si>
  <si>
    <t>Bagnall-Graham</t>
  </si>
  <si>
    <t>Ball</t>
  </si>
  <si>
    <t>Akshar, II</t>
  </si>
  <si>
    <t>Frederick J. Akshar, II</t>
  </si>
  <si>
    <t>Baldridge</t>
  </si>
  <si>
    <t>Helming</t>
  </si>
  <si>
    <t>Pamela A. Helming</t>
  </si>
  <si>
    <t>Lewis</t>
  </si>
  <si>
    <t>Hyson</t>
  </si>
  <si>
    <t>Danks Burke</t>
  </si>
  <si>
    <t>Casey</t>
  </si>
  <si>
    <t>Small</t>
  </si>
  <si>
    <t>Jacobs</t>
  </si>
  <si>
    <t>Christopher L. Jacobs</t>
  </si>
  <si>
    <t>Loughran</t>
  </si>
  <si>
    <t xml:space="preserve">    RPP — Roberts Party</t>
  </si>
  <si>
    <r>
      <t xml:space="preserve">                               Other</t>
    </r>
    <r>
      <rPr>
        <vertAlign val="superscript"/>
        <sz val="11"/>
        <rFont val="Arial"/>
        <family val="2"/>
      </rPr>
      <t>1</t>
    </r>
  </si>
  <si>
    <t>Working
Families</t>
  </si>
  <si>
    <t>Blank, Void, 
and Scattering</t>
  </si>
  <si>
    <t>Women's
Equality</t>
  </si>
  <si>
    <t>Reform</t>
  </si>
  <si>
    <t>Green</t>
  </si>
  <si>
    <t>Libertarian</t>
  </si>
  <si>
    <t>Bradbury Cleary</t>
  </si>
  <si>
    <t>Martinez</t>
  </si>
  <si>
    <t>Murray</t>
  </si>
  <si>
    <t>Monica R. Martinez</t>
  </si>
  <si>
    <t>D'Amaro</t>
  </si>
  <si>
    <t>Thomas</t>
  </si>
  <si>
    <t>Kevin M. Thomas</t>
  </si>
  <si>
    <t>Kaplan</t>
  </si>
  <si>
    <t>Anna M. Kaplan</t>
  </si>
  <si>
    <t>Pravato</t>
  </si>
  <si>
    <t>Becker, Jr.</t>
  </si>
  <si>
    <t>Becker, Jr. (TRP)</t>
  </si>
  <si>
    <t>Liu</t>
  </si>
  <si>
    <t>Paladino</t>
  </si>
  <si>
    <t>Minching</t>
  </si>
  <si>
    <t>John Liu</t>
  </si>
  <si>
    <t>Ramos</t>
  </si>
  <si>
    <t>Jessica Ramos</t>
  </si>
  <si>
    <t>Sullivan</t>
  </si>
  <si>
    <t>Pazienza</t>
  </si>
  <si>
    <t>Williams</t>
  </si>
  <si>
    <t>Salazar</t>
  </si>
  <si>
    <t>Julia Salazar</t>
  </si>
  <si>
    <t>Ferretti</t>
  </si>
  <si>
    <t>Myrie</t>
  </si>
  <si>
    <t>Zellnor Y. Myrie</t>
  </si>
  <si>
    <t>Gounardes</t>
  </si>
  <si>
    <t>Andrew S. Gounardes</t>
  </si>
  <si>
    <t>Krainert</t>
  </si>
  <si>
    <t>Robinson</t>
  </si>
  <si>
    <t>Kavanagh</t>
  </si>
  <si>
    <t>Arias</t>
  </si>
  <si>
    <t>Avrick</t>
  </si>
  <si>
    <t>Brian Kavangh</t>
  </si>
  <si>
    <t>Holmberg</t>
  </si>
  <si>
    <t>Holmberg (SDB)</t>
  </si>
  <si>
    <t>Benjamin</t>
  </si>
  <si>
    <t>Brian A. Benjamin</t>
  </si>
  <si>
    <t>Jackson</t>
  </si>
  <si>
    <t>Robert Jackson</t>
  </si>
  <si>
    <t>Sepulveda</t>
  </si>
  <si>
    <t>Delices</t>
  </si>
  <si>
    <t>Stewart-Martinez</t>
  </si>
  <si>
    <t>Luis Sepulveda</t>
  </si>
  <si>
    <t>Torres</t>
  </si>
  <si>
    <t>Biaggi</t>
  </si>
  <si>
    <t>Ribustello</t>
  </si>
  <si>
    <t>Vitiello</t>
  </si>
  <si>
    <t>Alessandra Biaggi</t>
  </si>
  <si>
    <t>Mayer</t>
  </si>
  <si>
    <t>Shelley B. Mayer</t>
  </si>
  <si>
    <t>Vanderhoef</t>
  </si>
  <si>
    <t>Skoufis</t>
  </si>
  <si>
    <t>Basile</t>
  </si>
  <si>
    <t>James G. Skoufis</t>
  </si>
  <si>
    <t>Harckham</t>
  </si>
  <si>
    <t>Peter B. Harckham</t>
  </si>
  <si>
    <t>Smythe</t>
  </si>
  <si>
    <t>Metzger</t>
  </si>
  <si>
    <t>Rabbitt</t>
  </si>
  <si>
    <t>Jen Metzger</t>
  </si>
  <si>
    <t>Gladd</t>
  </si>
  <si>
    <t>Jordan</t>
  </si>
  <si>
    <t>Daphne V. Jordan</t>
  </si>
  <si>
    <t>Martz</t>
  </si>
  <si>
    <t>Strong</t>
  </si>
  <si>
    <t>Ostrelich</t>
  </si>
  <si>
    <t>Mannion</t>
  </si>
  <si>
    <t>Antonacci, II</t>
  </si>
  <si>
    <t>Antonacci, II (UPS)</t>
  </si>
  <si>
    <t>Robert E. Antonacci, II</t>
  </si>
  <si>
    <t>St. George</t>
  </si>
  <si>
    <t>May</t>
  </si>
  <si>
    <t>Burman</t>
  </si>
  <si>
    <t>Rachel May</t>
  </si>
  <si>
    <t>Lunsford</t>
  </si>
  <si>
    <t>Cooney</t>
  </si>
  <si>
    <t>Kirchgessner</t>
  </si>
  <si>
    <t>Behairy</t>
  </si>
  <si>
    <t>Seamans</t>
  </si>
  <si>
    <t>Diachun</t>
  </si>
  <si>
    <t xml:space="preserve">    UPS — Upstate Jobs</t>
  </si>
  <si>
    <t xml:space="preserve">    TRP — Tax Revolt</t>
  </si>
  <si>
    <t xml:space="preserve">    SDB — Stop de Blasio</t>
  </si>
  <si>
    <t>SOURCE: New York State Board of Elections; www.elections.ny.gov (last viewed May 2, 2019).</t>
  </si>
  <si>
    <t>Magistrale</t>
  </si>
  <si>
    <t>DeVito, Jr.</t>
  </si>
  <si>
    <t>Croci</t>
  </si>
  <si>
    <t>Thomas D. Croci</t>
  </si>
  <si>
    <t>Alberts</t>
  </si>
  <si>
    <t>Cronin</t>
  </si>
  <si>
    <t>Kemp Hannon</t>
  </si>
  <si>
    <t>Hannon (TRP)</t>
  </si>
  <si>
    <t>Haber</t>
  </si>
  <si>
    <t>Elaine R. Phillips</t>
  </si>
  <si>
    <t>Venditto</t>
  </si>
  <si>
    <t>Venditto (TRP)</t>
  </si>
  <si>
    <t>McGrath</t>
  </si>
  <si>
    <t>McGrath (TRP)</t>
  </si>
  <si>
    <t>Cipolla</t>
  </si>
  <si>
    <t>Tony Avella</t>
  </si>
  <si>
    <t>Jeffcoat</t>
  </si>
  <si>
    <t>Gonzalez</t>
  </si>
  <si>
    <t>Jose R. Peralta</t>
  </si>
  <si>
    <t>Freeman</t>
  </si>
  <si>
    <t>Conigliaro</t>
  </si>
  <si>
    <t>Giron</t>
  </si>
  <si>
    <t>Malave Dilan</t>
  </si>
  <si>
    <t>Martin Malave Dilan</t>
  </si>
  <si>
    <t>Raitport</t>
  </si>
  <si>
    <t>Jesse E. Hamilton</t>
  </si>
  <si>
    <t>Martin J. Golden</t>
  </si>
  <si>
    <t>Rose</t>
  </si>
  <si>
    <t>Cox</t>
  </si>
  <si>
    <t>Squadron</t>
  </si>
  <si>
    <t>Daniel Squadron</t>
  </si>
  <si>
    <t>Robert (RPP)</t>
  </si>
  <si>
    <t>Zumbluskas</t>
  </si>
  <si>
    <t>Ortiz</t>
  </si>
  <si>
    <t>Perkins</t>
  </si>
  <si>
    <t>Girodes</t>
  </si>
  <si>
    <t>Bill Perkins</t>
  </si>
  <si>
    <t>Toro</t>
  </si>
  <si>
    <t>Marisol Alcantara</t>
  </si>
  <si>
    <t>Diaz, Sr.</t>
  </si>
  <si>
    <t>Ruben Diaz, Sr.</t>
  </si>
  <si>
    <t>Mici</t>
  </si>
  <si>
    <t>Jeffrey D. Klein</t>
  </si>
  <si>
    <t>Latimer</t>
  </si>
  <si>
    <t>Killian</t>
  </si>
  <si>
    <t>George S. Latimer</t>
  </si>
  <si>
    <t>DePrisco</t>
  </si>
  <si>
    <t>Eachus</t>
  </si>
  <si>
    <t xml:space="preserve">                     Larkin, Jr.</t>
  </si>
  <si>
    <t>Larkin, Jr.</t>
  </si>
  <si>
    <t>William J. Larkin, Jr.</t>
  </si>
  <si>
    <t>Boak</t>
  </si>
  <si>
    <t>Terrence P. Murphy</t>
  </si>
  <si>
    <t>Gipson</t>
  </si>
  <si>
    <t>Malick</t>
  </si>
  <si>
    <t>Bonacic</t>
  </si>
  <si>
    <t>John J. Bonacic</t>
  </si>
  <si>
    <t>Francis</t>
  </si>
  <si>
    <t>Marchione</t>
  </si>
  <si>
    <t>Kathleen A. Marchione</t>
  </si>
  <si>
    <t>Niccoli</t>
  </si>
  <si>
    <t>Blank, Void,
and Scattering</t>
  </si>
  <si>
    <t>Ruth</t>
  </si>
  <si>
    <t>Fritz</t>
  </si>
  <si>
    <t>Hirsch</t>
  </si>
  <si>
    <t>Adams</t>
  </si>
  <si>
    <t>Willebrand</t>
  </si>
  <si>
    <t>Lundgren</t>
  </si>
  <si>
    <t>Levy</t>
  </si>
  <si>
    <t>Arthur</t>
  </si>
  <si>
    <t>Ruzbacki</t>
  </si>
  <si>
    <t>Noccoli</t>
  </si>
  <si>
    <t>Rayburn</t>
  </si>
  <si>
    <t>Depasquale</t>
  </si>
  <si>
    <t>Cartagena, Jr.</t>
  </si>
  <si>
    <r>
      <t>Twenty-Sixth</t>
    </r>
    <r>
      <rPr>
        <vertAlign val="superscript"/>
        <sz val="11"/>
        <rFont val="Arial"/>
        <family val="2"/>
      </rPr>
      <t>2</t>
    </r>
  </si>
  <si>
    <t>Alexander</t>
  </si>
  <si>
    <t>Brian P. Kavanagh</t>
  </si>
  <si>
    <t>2  Special election held November 7, 2017.</t>
  </si>
  <si>
    <t>New York State by Senate District — November 4, 2014</t>
  </si>
  <si>
    <t>Conroy</t>
  </si>
  <si>
    <t>Lombardi</t>
  </si>
  <si>
    <t>Esposito</t>
  </si>
  <si>
    <t>Kennedy, Jr.</t>
  </si>
  <si>
    <t>Irwin</t>
  </si>
  <si>
    <t>Martins</t>
  </si>
  <si>
    <t>Jack M. Martins</t>
  </si>
  <si>
    <t>Martins (TRP)</t>
  </si>
  <si>
    <t>Denenberg</t>
  </si>
  <si>
    <t>Michael Venditto</t>
  </si>
  <si>
    <t>Gillespie, Jr.</t>
  </si>
  <si>
    <t xml:space="preserve">                            Skelos</t>
  </si>
  <si>
    <t>Skelos</t>
  </si>
  <si>
    <t>Skelos (TRP)</t>
  </si>
  <si>
    <t>Dean G. Skelos</t>
  </si>
  <si>
    <t>Aldorasi (SCC)</t>
  </si>
  <si>
    <t>Anderson</t>
  </si>
  <si>
    <t>Medina</t>
  </si>
  <si>
    <t xml:space="preserve">                       Sampson</t>
  </si>
  <si>
    <t>Weir</t>
  </si>
  <si>
    <t>Smitherman</t>
  </si>
  <si>
    <t>John L. Sampson</t>
  </si>
  <si>
    <t>Hail</t>
  </si>
  <si>
    <t>Kemmerer</t>
  </si>
  <si>
    <t>Carsel</t>
  </si>
  <si>
    <t>Chan</t>
  </si>
  <si>
    <t>Scala</t>
  </si>
  <si>
    <t>Barrett</t>
  </si>
  <si>
    <t>Espaillat</t>
  </si>
  <si>
    <t>Adriano Espaillat</t>
  </si>
  <si>
    <t>Marte</t>
  </si>
  <si>
    <t>Padilla, Jr.</t>
  </si>
  <si>
    <t>Dellavalle</t>
  </si>
  <si>
    <t>Lopez Foti</t>
  </si>
  <si>
    <t>Thompson</t>
  </si>
  <si>
    <t>Collins</t>
  </si>
  <si>
    <t>Ruth H. Thompson</t>
  </si>
  <si>
    <t>Dillon</t>
  </si>
  <si>
    <t>Held</t>
  </si>
  <si>
    <t>Lee</t>
  </si>
  <si>
    <t>Wagner</t>
  </si>
  <si>
    <t>Murphy (SCC)</t>
  </si>
  <si>
    <t>Gipson (TRN)</t>
  </si>
  <si>
    <t>Howard</t>
  </si>
  <si>
    <t>Tkaczyk</t>
  </si>
  <si>
    <t>Amedore, Jr. (SCC)</t>
  </si>
  <si>
    <t>Thorne</t>
  </si>
  <si>
    <t>Farley</t>
  </si>
  <si>
    <t>Farley (SCC)</t>
  </si>
  <si>
    <t>Hugh T. Farley</t>
  </si>
  <si>
    <t>Starzak</t>
  </si>
  <si>
    <t>Libous</t>
  </si>
  <si>
    <t>Thomas W. Libous</t>
  </si>
  <si>
    <t>Nozzolio</t>
  </si>
  <si>
    <t>Michael F. Nozzolio</t>
  </si>
  <si>
    <t>O'Brien</t>
  </si>
  <si>
    <t>Funke (SCC)</t>
  </si>
  <si>
    <t>Panepinto</t>
  </si>
  <si>
    <t>Stocker</t>
  </si>
  <si>
    <t>Grisanti</t>
  </si>
  <si>
    <t>Gallagher</t>
  </si>
  <si>
    <t>Marc C. Panepinto</t>
  </si>
  <si>
    <t>Altman</t>
  </si>
  <si>
    <t>Ranzenhofer (SCC)</t>
  </si>
  <si>
    <t>Destino</t>
  </si>
  <si>
    <t>Brown</t>
  </si>
  <si>
    <t>Donovan, Sr.</t>
  </si>
  <si>
    <t>Donvan, Sr.</t>
  </si>
  <si>
    <t xml:space="preserve">    SCC — Stop Common Core Party</t>
  </si>
  <si>
    <t xml:space="preserve">    TRN — Tax Relief Now</t>
  </si>
  <si>
    <t>SOURCE: New York State Board of Elections; www.elections.ny.gov (last viewed June 4, 2015).</t>
  </si>
  <si>
    <t>Bowman</t>
  </si>
  <si>
    <t>Gilman</t>
  </si>
  <si>
    <r>
      <t>Nineteenth</t>
    </r>
    <r>
      <rPr>
        <vertAlign val="superscript"/>
        <sz val="11"/>
        <rFont val="Arial"/>
        <family val="2"/>
      </rPr>
      <t>2</t>
    </r>
  </si>
  <si>
    <t>2  Special election held November 3, 2015.</t>
  </si>
  <si>
    <r>
      <t>Fifty-Second</t>
    </r>
    <r>
      <rPr>
        <vertAlign val="superscript"/>
        <sz val="11"/>
        <rFont val="Arial"/>
        <family val="2"/>
      </rPr>
      <t>2</t>
    </r>
  </si>
  <si>
    <t>Fiala</t>
  </si>
  <si>
    <t>New York State by Senate District — November 6, 2012</t>
  </si>
  <si>
    <t>Fleming</t>
  </si>
  <si>
    <t>Toulon, Jr.</t>
  </si>
  <si>
    <t>Genco</t>
  </si>
  <si>
    <t>Zeldin</t>
  </si>
  <si>
    <t>Lee M. Zeldin</t>
  </si>
  <si>
    <t>Montano</t>
  </si>
  <si>
    <t>Wright</t>
  </si>
  <si>
    <t>Marcellino (TRP)</t>
  </si>
  <si>
    <t>Ross</t>
  </si>
  <si>
    <t>Gordon</t>
  </si>
  <si>
    <t>Fuschillo, Jr.</t>
  </si>
  <si>
    <t>Fuschillo, Jr. (TRP)</t>
  </si>
  <si>
    <t>Charles J. Fuschillo, Jr.</t>
  </si>
  <si>
    <t>Feffer</t>
  </si>
  <si>
    <t>Sanders</t>
  </si>
  <si>
    <t>Concannon</t>
  </si>
  <si>
    <t>Arcabascio</t>
  </si>
  <si>
    <t>Smith</t>
  </si>
  <si>
    <t>Malcolm A. Smith</t>
  </si>
  <si>
    <t>Ulrich</t>
  </si>
  <si>
    <t>Kim</t>
  </si>
  <si>
    <t>Storobin</t>
  </si>
  <si>
    <t>Tischler (SCP)</t>
  </si>
  <si>
    <t>Felder (TCN)</t>
  </si>
  <si>
    <t>Freeman-Saulsberre</t>
  </si>
  <si>
    <t>Neal</t>
  </si>
  <si>
    <t>Sampson</t>
  </si>
  <si>
    <t>Laney</t>
  </si>
  <si>
    <t>Eric Adams</t>
  </si>
  <si>
    <t>Meyer</t>
  </si>
  <si>
    <t>Grey</t>
  </si>
  <si>
    <t>Jasilli</t>
  </si>
  <si>
    <t>Haro</t>
  </si>
  <si>
    <t>Garland</t>
  </si>
  <si>
    <t>Goodman</t>
  </si>
  <si>
    <t>Chicon</t>
  </si>
  <si>
    <t>Diaz</t>
  </si>
  <si>
    <t>Johnson</t>
  </si>
  <si>
    <t>Ruben M. Diaz</t>
  </si>
  <si>
    <t>Walters</t>
  </si>
  <si>
    <t>Perri</t>
  </si>
  <si>
    <t>Cohen</t>
  </si>
  <si>
    <t>Castaldi</t>
  </si>
  <si>
    <t>Gregory R. Ball</t>
  </si>
  <si>
    <t xml:space="preserve">                           Saland</t>
  </si>
  <si>
    <t>DiCarlo</t>
  </si>
  <si>
    <t>Terry W. Gipson</t>
  </si>
  <si>
    <t>Andrews</t>
  </si>
  <si>
    <t>McDonald</t>
  </si>
  <si>
    <t>Tresidder</t>
  </si>
  <si>
    <t>Tressider</t>
  </si>
  <si>
    <t>Leib</t>
  </si>
  <si>
    <t>Orzel</t>
  </si>
  <si>
    <t>Esworthy</t>
  </si>
  <si>
    <t>Hanna</t>
  </si>
  <si>
    <t>Ted O'Brien</t>
  </si>
  <si>
    <t>Amodeo</t>
  </si>
  <si>
    <t>Swanick</t>
  </si>
  <si>
    <t>Mark J. Grisanti</t>
  </si>
  <si>
    <t>Rooney</t>
  </si>
  <si>
    <t>Witryol</t>
  </si>
  <si>
    <t>Maziarz</t>
  </si>
  <si>
    <t>George D. Maziarz</t>
  </si>
  <si>
    <t xml:space="preserve">    SCP — School Choice Party</t>
  </si>
  <si>
    <t xml:space="preserve">    TCN — Tax Cuts Now Party</t>
  </si>
  <si>
    <t>SOURCE: New York State Board of Elections; www.elections.ny.gov.</t>
  </si>
  <si>
    <t>Siracuse</t>
  </si>
  <si>
    <t>LaVenia, Jr.</t>
  </si>
  <si>
    <t>Donnelly</t>
  </si>
  <si>
    <t>Benedict</t>
  </si>
  <si>
    <t>Maertz</t>
  </si>
  <si>
    <t>LaValle (STR)</t>
  </si>
  <si>
    <t>Bernstein</t>
  </si>
  <si>
    <t>Foley</t>
  </si>
  <si>
    <t>Lollo</t>
  </si>
  <si>
    <t xml:space="preserve">                         Johnson</t>
  </si>
  <si>
    <t>Owen H. Johnson</t>
  </si>
  <si>
    <t>Silverman</t>
  </si>
  <si>
    <t>Carlow</t>
  </si>
  <si>
    <t>Mejias</t>
  </si>
  <si>
    <t>Sava</t>
  </si>
  <si>
    <t>Huntley</t>
  </si>
  <si>
    <t>Shirley L. Huntley</t>
  </si>
  <si>
    <t>Padavan</t>
  </si>
  <si>
    <t>Tina, Jr.</t>
  </si>
  <si>
    <t>La Salle</t>
  </si>
  <si>
    <t>Benoit</t>
  </si>
  <si>
    <t>Como</t>
  </si>
  <si>
    <t>Schwartz</t>
  </si>
  <si>
    <t xml:space="preserve">                Montgomery</t>
  </si>
  <si>
    <t>Word</t>
  </si>
  <si>
    <t>Romaguera</t>
  </si>
  <si>
    <t>Eric L. Adams</t>
  </si>
  <si>
    <t>Lodge</t>
  </si>
  <si>
    <t>DiSanto</t>
  </si>
  <si>
    <t>Nardiello</t>
  </si>
  <si>
    <t>Daniel L. Squadron</t>
  </si>
  <si>
    <t>Farber</t>
  </si>
  <si>
    <t>Kruger</t>
  </si>
  <si>
    <t>Rosenberg</t>
  </si>
  <si>
    <t>Carl Kruger</t>
  </si>
  <si>
    <t>Weiner</t>
  </si>
  <si>
    <t>Duane</t>
  </si>
  <si>
    <t>Mendola</t>
  </si>
  <si>
    <t>Thomas K. Duane</t>
  </si>
  <si>
    <t>Yarbrough</t>
  </si>
  <si>
    <t>Sapaskis</t>
  </si>
  <si>
    <t>Klapper</t>
  </si>
  <si>
    <t>Ruben Diaz</t>
  </si>
  <si>
    <t>Vernuccio, Jr.</t>
  </si>
  <si>
    <t>McLaughlin</t>
  </si>
  <si>
    <t>Oppenheimer</t>
  </si>
  <si>
    <t>Suzi Oppenheimer</t>
  </si>
  <si>
    <t>David S. Carlucci</t>
  </si>
  <si>
    <t>Doles, III</t>
  </si>
  <si>
    <t>Kaplowitz</t>
  </si>
  <si>
    <t>Greg Ball</t>
  </si>
  <si>
    <t>Saland</t>
  </si>
  <si>
    <t>Stephen M. Saland</t>
  </si>
  <si>
    <t>Sager</t>
  </si>
  <si>
    <t>Yepsen</t>
  </si>
  <si>
    <t>Roy J. McDonald</t>
  </si>
  <si>
    <t>Savage</t>
  </si>
  <si>
    <t xml:space="preserve">                            Farley</t>
  </si>
  <si>
    <t>Domenici</t>
  </si>
  <si>
    <t>Bresin</t>
  </si>
  <si>
    <t>Carey (RFM)</t>
  </si>
  <si>
    <t>Hennessy</t>
  </si>
  <si>
    <t>Hennessy (FAP)</t>
  </si>
  <si>
    <t>Aubertine</t>
  </si>
  <si>
    <t>Ritchie (TXP)</t>
  </si>
  <si>
    <t>Russo</t>
  </si>
  <si>
    <t>Joy</t>
  </si>
  <si>
    <t>Mackesey</t>
  </si>
  <si>
    <t>O'Shea</t>
  </si>
  <si>
    <t>Wilmot</t>
  </si>
  <si>
    <t xml:space="preserve">                              Alesi</t>
  </si>
  <si>
    <t>Alesi</t>
  </si>
  <si>
    <t>Wilmot (CTJ)</t>
  </si>
  <si>
    <t>Jim Alesi</t>
  </si>
  <si>
    <t>Wilt</t>
  </si>
  <si>
    <t>McCormick</t>
  </si>
  <si>
    <t>Quinn</t>
  </si>
  <si>
    <t>Stachowski</t>
  </si>
  <si>
    <t>Quinn (TXP)</t>
  </si>
  <si>
    <t>Appleton</t>
  </si>
  <si>
    <t>DiPietro (TEA)</t>
  </si>
  <si>
    <t>Coppola</t>
  </si>
  <si>
    <t xml:space="preserve">    CTJ  — Cut Taxes Add Jobs Party</t>
  </si>
  <si>
    <t xml:space="preserve">    FAP — Fix Albany Party</t>
  </si>
  <si>
    <t xml:space="preserve">    RFM — Reform Party</t>
  </si>
  <si>
    <t xml:space="preserve">    STR — School Tax Relief Party</t>
  </si>
  <si>
    <t xml:space="preserve">    TEA — Tea Party</t>
  </si>
  <si>
    <t xml:space="preserve">    TXP — Taxpayers Party</t>
  </si>
  <si>
    <t>Roos</t>
  </si>
  <si>
    <t>Reynolds</t>
  </si>
  <si>
    <t xml:space="preserve">           Blank, Void,</t>
  </si>
  <si>
    <t>and Scattering</t>
  </si>
  <si>
    <t>DePaoli</t>
  </si>
  <si>
    <t xml:space="preserve">                            Trunzo</t>
  </si>
  <si>
    <t>Trunzo</t>
  </si>
  <si>
    <t>Brian X. Foley</t>
  </si>
  <si>
    <t>Gilliard</t>
  </si>
  <si>
    <t>Meng</t>
  </si>
  <si>
    <t>McElroy</t>
  </si>
  <si>
    <t>Donno</t>
  </si>
  <si>
    <t>Craig M. Johnson</t>
  </si>
  <si>
    <t>Simon</t>
  </si>
  <si>
    <t>Gennaro</t>
  </si>
  <si>
    <t>Frank Padavan</t>
  </si>
  <si>
    <t>Onorato</t>
  </si>
  <si>
    <t>Dooley</t>
  </si>
  <si>
    <t>George Onorato</t>
  </si>
  <si>
    <t>Monserrate</t>
  </si>
  <si>
    <t>Hiram Monserrate</t>
  </si>
  <si>
    <t xml:space="preserve">                         Maltese</t>
  </si>
  <si>
    <t>Maltese</t>
  </si>
  <si>
    <t>Koo</t>
  </si>
  <si>
    <t>Malave-Dilan</t>
  </si>
  <si>
    <t>Guarino</t>
  </si>
  <si>
    <t>Martin Malave-Dilan</t>
  </si>
  <si>
    <t>Palacious-Serrano</t>
  </si>
  <si>
    <t>Jelks</t>
  </si>
  <si>
    <t>Christopher</t>
  </si>
  <si>
    <t>Nocera</t>
  </si>
  <si>
    <t>Pancila</t>
  </si>
  <si>
    <t>Chromczak</t>
  </si>
  <si>
    <t>Patrin</t>
  </si>
  <si>
    <t>Leible</t>
  </si>
  <si>
    <t>Schneiderman</t>
  </si>
  <si>
    <t>Bradian</t>
  </si>
  <si>
    <t>Eric T. Schneiderman</t>
  </si>
  <si>
    <t>McDonagh</t>
  </si>
  <si>
    <t>Espada, Jr.</t>
  </si>
  <si>
    <t>Pedro Espada, Jr.</t>
  </si>
  <si>
    <t>Fasolino</t>
  </si>
  <si>
    <t>Murtagh</t>
  </si>
  <si>
    <t>Feld</t>
  </si>
  <si>
    <t>Julian</t>
  </si>
  <si>
    <t>Morahan</t>
  </si>
  <si>
    <t>Thomas P. Morahan</t>
  </si>
  <si>
    <t>Delarose</t>
  </si>
  <si>
    <t>Leibell, III</t>
  </si>
  <si>
    <t>Vincent L. Leibell, III</t>
  </si>
  <si>
    <t>Dow</t>
  </si>
  <si>
    <t>Voelker</t>
  </si>
  <si>
    <t>Jospeh A. Griffo</t>
  </si>
  <si>
    <t>Renzi</t>
  </si>
  <si>
    <t>Darrel J. Aubertine</t>
  </si>
  <si>
    <t>DiStefano</t>
  </si>
  <si>
    <t>Mulcahy</t>
  </si>
  <si>
    <t>Barber</t>
  </si>
  <si>
    <t>Tonello</t>
  </si>
  <si>
    <t>Winner, Jr.</t>
  </si>
  <si>
    <t>George H. Winner, Jr.</t>
  </si>
  <si>
    <t>Capanna</t>
  </si>
  <si>
    <t>Nozzolio (TPF)</t>
  </si>
  <si>
    <t>Nachbar</t>
  </si>
  <si>
    <t>Dollinger</t>
  </si>
  <si>
    <t>Schaeffer</t>
  </si>
  <si>
    <t>Delano, Sr.</t>
  </si>
  <si>
    <t xml:space="preserve">                  Stachowski</t>
  </si>
  <si>
    <t>William T. Stachowski</t>
  </si>
  <si>
    <t>Delano, Sr. (TPF)</t>
  </si>
  <si>
    <t>Konst</t>
  </si>
  <si>
    <t xml:space="preserve">                           Volker</t>
  </si>
  <si>
    <t>Volker</t>
  </si>
  <si>
    <t xml:space="preserve">         Dale M. Volker</t>
  </si>
  <si>
    <t>Antoine M. Thompson</t>
  </si>
  <si>
    <t>Mesi</t>
  </si>
  <si>
    <t>Grear</t>
  </si>
  <si>
    <t xml:space="preserve">    TPF — Taxpayers First Party</t>
  </si>
  <si>
    <t>SOURCE:  New York State Board of Elections; www.elections.state.ny.us.</t>
  </si>
  <si>
    <t>New York State by Senate District — November 4, 2008</t>
  </si>
  <si>
    <t>Albano</t>
  </si>
  <si>
    <t>Consuello</t>
  </si>
  <si>
    <t>Keramati</t>
  </si>
  <si>
    <t>Boncella</t>
  </si>
  <si>
    <t>Comando</t>
  </si>
  <si>
    <t xml:space="preserve">                          La Valle</t>
  </si>
  <si>
    <t>Kenneth P. La Valle</t>
  </si>
  <si>
    <t>Ellison</t>
  </si>
  <si>
    <t>Dahroug</t>
  </si>
  <si>
    <t>Caesar Trunzo</t>
  </si>
  <si>
    <t>Bielanski</t>
  </si>
  <si>
    <t>Roper-Simpson</t>
  </si>
  <si>
    <t>Hand</t>
  </si>
  <si>
    <t>Balboni</t>
  </si>
  <si>
    <t>Michael A. L. Balboni</t>
  </si>
  <si>
    <t>O'Connell</t>
  </si>
  <si>
    <t>Goldberg</t>
  </si>
  <si>
    <t>Hunter</t>
  </si>
  <si>
    <t>Marino</t>
  </si>
  <si>
    <t>Sabini</t>
  </si>
  <si>
    <t>John D. Sabini</t>
  </si>
  <si>
    <t>Baldeo</t>
  </si>
  <si>
    <t xml:space="preserve">        Serphin R. Maltese</t>
  </si>
  <si>
    <t>Dilan</t>
  </si>
  <si>
    <t>Guarina</t>
  </si>
  <si>
    <t>Vazquez-Hernandez</t>
  </si>
  <si>
    <t>Vicino</t>
  </si>
  <si>
    <t>Gay</t>
  </si>
  <si>
    <t>Grupico</t>
  </si>
  <si>
    <t>Titone</t>
  </si>
  <si>
    <t>Pistor, Jr.</t>
  </si>
  <si>
    <t xml:space="preserve">                          Connor</t>
  </si>
  <si>
    <t>Martin Connor</t>
  </si>
  <si>
    <t>Pidot</t>
  </si>
  <si>
    <t>Pidot (GRP)</t>
  </si>
  <si>
    <t>Mahoney</t>
  </si>
  <si>
    <t>Jose Serrano</t>
  </si>
  <si>
    <t>Mosley</t>
  </si>
  <si>
    <t>Fields</t>
  </si>
  <si>
    <t>Gonzalez, Jr.</t>
  </si>
  <si>
    <t>Kebreau</t>
  </si>
  <si>
    <t>Efrain Gonzalez, Jr.</t>
  </si>
  <si>
    <t xml:space="preserve">                            Spano</t>
  </si>
  <si>
    <t>Spano</t>
  </si>
  <si>
    <t>Hassell-Thompson</t>
  </si>
  <si>
    <t>Ruth Hassell-Thompson</t>
  </si>
  <si>
    <t>Low-Hogan</t>
  </si>
  <si>
    <t>McBride</t>
  </si>
  <si>
    <t>Keeler</t>
  </si>
  <si>
    <t>Zimet</t>
  </si>
  <si>
    <t xml:space="preserve">                             Bruno</t>
  </si>
  <si>
    <t>Bruno</t>
  </si>
  <si>
    <t>Joseph L. Bruno</t>
  </si>
  <si>
    <t>McCarthy</t>
  </si>
  <si>
    <t>Merrick</t>
  </si>
  <si>
    <t>Murad</t>
  </si>
  <si>
    <t>James W. Wright</t>
  </si>
  <si>
    <t>Barclay</t>
  </si>
  <si>
    <t>Nancy Larraine Hoffmann</t>
  </si>
  <si>
    <t>Trabucco</t>
  </si>
  <si>
    <t>Saltzberg</t>
  </si>
  <si>
    <t>Powell</t>
  </si>
  <si>
    <t>Catherine M. Young</t>
  </si>
  <si>
    <t>Mesler</t>
  </si>
  <si>
    <t>Woll</t>
  </si>
  <si>
    <t>Rath</t>
  </si>
  <si>
    <t>Mary Lou Rath</t>
  </si>
  <si>
    <t>Srock</t>
  </si>
  <si>
    <t xml:space="preserve">    GRP — Growth</t>
  </si>
  <si>
    <t xml:space="preserve">    STR — School Tax Relief</t>
  </si>
  <si>
    <t>2  Special election held on February 6, 2007.</t>
  </si>
  <si>
    <t>3  Special election held on February 6, 2008.</t>
  </si>
  <si>
    <t>SOURCE:  New York State Board of Elections.</t>
  </si>
  <si>
    <r>
      <t>Seventh</t>
    </r>
    <r>
      <rPr>
        <vertAlign val="superscript"/>
        <sz val="11"/>
        <rFont val="Arial"/>
        <family val="2"/>
      </rPr>
      <t>2</t>
    </r>
  </si>
  <si>
    <r>
      <t>Forty-Eighth</t>
    </r>
    <r>
      <rPr>
        <vertAlign val="superscript"/>
        <sz val="11"/>
        <rFont val="Arial"/>
        <family val="2"/>
      </rPr>
      <t>3</t>
    </r>
  </si>
  <si>
    <t>New York State by Senate District — November 7, 2006</t>
  </si>
  <si>
    <t>Ochoa</t>
  </si>
  <si>
    <t>Diamondstone</t>
  </si>
  <si>
    <t>Stark</t>
  </si>
  <si>
    <t>Kaziol</t>
  </si>
  <si>
    <t xml:space="preserve">           Blank, Void</t>
  </si>
  <si>
    <t xml:space="preserve">              Conservative</t>
  </si>
  <si>
    <t xml:space="preserve">          &amp; Scattering</t>
  </si>
  <si>
    <t>Schab</t>
  </si>
  <si>
    <t>Brisbane</t>
  </si>
  <si>
    <t>Ferzola</t>
  </si>
  <si>
    <t>Marshak</t>
  </si>
  <si>
    <t>Lewis, Jr.</t>
  </si>
  <si>
    <t>Ketover</t>
  </si>
  <si>
    <t>Ada L. Smith</t>
  </si>
  <si>
    <t>Maio</t>
  </si>
  <si>
    <t>Martin M. Dilan</t>
  </si>
  <si>
    <t>Britton</t>
  </si>
  <si>
    <t>Herbert</t>
  </si>
  <si>
    <t>Carl Andrews</t>
  </si>
  <si>
    <t>Curtis</t>
  </si>
  <si>
    <t>Curtis (SCP)</t>
  </si>
  <si>
    <t>Marchi</t>
  </si>
  <si>
    <t xml:space="preserve">                           Marchi</t>
  </si>
  <si>
    <t>John J. Marchi</t>
  </si>
  <si>
    <t>McCoy</t>
  </si>
  <si>
    <t>Mendez</t>
  </si>
  <si>
    <t>Estrada</t>
  </si>
  <si>
    <t>Csendes</t>
  </si>
  <si>
    <t>Nelman</t>
  </si>
  <si>
    <t>Paterson</t>
  </si>
  <si>
    <t>David A. Paterson</t>
  </si>
  <si>
    <t>Goris</t>
  </si>
  <si>
    <t>Sternberg</t>
  </si>
  <si>
    <t>Kaufman</t>
  </si>
  <si>
    <t>Osterczy</t>
  </si>
  <si>
    <t>Gianatasio</t>
  </si>
  <si>
    <t>D'Ambrosio</t>
  </si>
  <si>
    <t>Malstrom</t>
  </si>
  <si>
    <t>Connors II</t>
  </si>
  <si>
    <t>Jayakumar</t>
  </si>
  <si>
    <t xml:space="preserve">                             Meier</t>
  </si>
  <si>
    <t>Raymond A. Meier</t>
  </si>
  <si>
    <t>Hoffmann</t>
  </si>
  <si>
    <t>Dadey, Jr.</t>
  </si>
  <si>
    <t>Gorman</t>
  </si>
  <si>
    <t>Burns</t>
  </si>
  <si>
    <t>Cleveland</t>
  </si>
  <si>
    <t>Ertischek</t>
  </si>
  <si>
    <t>Barris</t>
  </si>
  <si>
    <t>McGee</t>
  </si>
  <si>
    <t>Patricia K. McGee</t>
  </si>
  <si>
    <t>Bargar</t>
  </si>
  <si>
    <t>Mazurklewicz</t>
  </si>
  <si>
    <t>Byron W. Brown</t>
  </si>
  <si>
    <t>Marc A. Coppola</t>
  </si>
  <si>
    <t>Longo</t>
  </si>
  <si>
    <t>Bova</t>
  </si>
  <si>
    <t xml:space="preserve">    GRE — Green Party</t>
  </si>
  <si>
    <t xml:space="preserve">    LBT — Libertarian Party</t>
  </si>
  <si>
    <t xml:space="preserve">    SCP — School Choice</t>
  </si>
  <si>
    <t xml:space="preserve">    WOR — Working Families Party</t>
  </si>
  <si>
    <t>New York State by Senate District — November 2, 2004</t>
  </si>
  <si>
    <t>White</t>
  </si>
  <si>
    <t>Connor</t>
  </si>
  <si>
    <r>
      <t>Fifty-Seventh</t>
    </r>
    <r>
      <rPr>
        <vertAlign val="superscript"/>
        <sz val="11"/>
        <rFont val="Arial"/>
        <family val="2"/>
      </rPr>
      <t>2</t>
    </r>
  </si>
  <si>
    <r>
      <t>Sixtieth</t>
    </r>
    <r>
      <rPr>
        <vertAlign val="superscript"/>
        <sz val="11"/>
        <rFont val="Arial"/>
        <family val="2"/>
      </rPr>
      <t>3</t>
    </r>
  </si>
  <si>
    <t>2  Special election held on May 10, 2005.</t>
  </si>
  <si>
    <t>3  Special election held on February 28, 2006.</t>
  </si>
  <si>
    <t>Bennett</t>
  </si>
  <si>
    <t>Oxford</t>
  </si>
  <si>
    <t xml:space="preserve">                           Liberal</t>
  </si>
  <si>
    <t xml:space="preserve">                 Right to Life</t>
  </si>
  <si>
    <t>Eaton</t>
  </si>
  <si>
    <t>Moran</t>
  </si>
  <si>
    <t>Lambert, Jr.</t>
  </si>
  <si>
    <t>Crecca</t>
  </si>
  <si>
    <t>Galgano</t>
  </si>
  <si>
    <t>Snyder</t>
  </si>
  <si>
    <t>Nehrich</t>
  </si>
  <si>
    <t>Maher</t>
  </si>
  <si>
    <t>Callahan</t>
  </si>
  <si>
    <t>Dash, Sr.</t>
  </si>
  <si>
    <t>Glassberg</t>
  </si>
  <si>
    <t>Zeoli</t>
  </si>
  <si>
    <t>McHale</t>
  </si>
  <si>
    <t>Lynch</t>
  </si>
  <si>
    <t>Ahmed</t>
  </si>
  <si>
    <t>Castro</t>
  </si>
  <si>
    <t>Ralin</t>
  </si>
  <si>
    <t>Harrison</t>
  </si>
  <si>
    <t>Santiago</t>
  </si>
  <si>
    <t xml:space="preserve">                        Santiago</t>
  </si>
  <si>
    <t>Moseley</t>
  </si>
  <si>
    <t>Hall</t>
  </si>
  <si>
    <t>Dear</t>
  </si>
  <si>
    <t>Knipel</t>
  </si>
  <si>
    <t>Gentile</t>
  </si>
  <si>
    <t>Lachman</t>
  </si>
  <si>
    <t>Curtis, Jr.</t>
  </si>
  <si>
    <t>Seymour P. Lachman</t>
  </si>
  <si>
    <t>Cocozza</t>
  </si>
  <si>
    <t>Cocozza (VET)</t>
  </si>
  <si>
    <t>Silverglad</t>
  </si>
  <si>
    <t>Eristoff</t>
  </si>
  <si>
    <t xml:space="preserve">                         Mendez</t>
  </si>
  <si>
    <t>Olga A. Mendez</t>
  </si>
  <si>
    <t>Toribio, Jr.</t>
  </si>
  <si>
    <t>Retcho</t>
  </si>
  <si>
    <t xml:space="preserve">                           Velella</t>
  </si>
  <si>
    <t>Velella</t>
  </si>
  <si>
    <t xml:space="preserve">  </t>
  </si>
  <si>
    <t>Guy J. Velella</t>
  </si>
  <si>
    <t>Stanton</t>
  </si>
  <si>
    <t>Nicholas A. Spano</t>
  </si>
  <si>
    <t>Rubin</t>
  </si>
  <si>
    <t xml:space="preserve"> </t>
  </si>
  <si>
    <t>Scharf</t>
  </si>
  <si>
    <t>Agins</t>
  </si>
  <si>
    <t>Cortell</t>
  </si>
  <si>
    <t>Whalen</t>
  </si>
  <si>
    <t>Reagan</t>
  </si>
  <si>
    <t>Tierney</t>
  </si>
  <si>
    <t>Sherwin</t>
  </si>
  <si>
    <t>Elizabeth O'C Little</t>
  </si>
  <si>
    <t>Belenchia</t>
  </si>
  <si>
    <t>Painter</t>
  </si>
  <si>
    <t>Wells, III</t>
  </si>
  <si>
    <t>Kuhl, Jr.</t>
  </si>
  <si>
    <t>Chiment</t>
  </si>
  <si>
    <t>John Randy Kuhl, Jr.</t>
  </si>
  <si>
    <t>Vacca</t>
  </si>
  <si>
    <t>Bronson</t>
  </si>
  <si>
    <t>Leisz</t>
  </si>
  <si>
    <t>Heymanowski</t>
  </si>
  <si>
    <t>Greenberg</t>
  </si>
  <si>
    <t xml:space="preserve">    VET — Veterans Party</t>
  </si>
  <si>
    <t>New York State by Senate District — November 5, 2002</t>
  </si>
  <si>
    <t>Borda</t>
  </si>
  <si>
    <t>Eagan</t>
  </si>
  <si>
    <t>Williams-Pereira</t>
  </si>
  <si>
    <t>Peters</t>
  </si>
  <si>
    <t>Tirado</t>
  </si>
  <si>
    <t>Rosada</t>
  </si>
  <si>
    <t>Leobold</t>
  </si>
  <si>
    <t>Farney</t>
  </si>
  <si>
    <t>Degan</t>
  </si>
  <si>
    <t>Mulrow</t>
  </si>
  <si>
    <t>Rog</t>
  </si>
  <si>
    <t>Cannan</t>
  </si>
  <si>
    <t>Independent</t>
  </si>
  <si>
    <t>Minardi</t>
  </si>
  <si>
    <t>Walter</t>
  </si>
  <si>
    <t>Cleere</t>
  </si>
  <si>
    <t xml:space="preserve">                               Lack</t>
  </si>
  <si>
    <t>Lack</t>
  </si>
  <si>
    <t>O'Hara</t>
  </si>
  <si>
    <t>James J. Lack</t>
  </si>
  <si>
    <t>Heath</t>
  </si>
  <si>
    <t>Sharp</t>
  </si>
  <si>
    <t>Lawson</t>
  </si>
  <si>
    <t>Crosson</t>
  </si>
  <si>
    <t>Keefe</t>
  </si>
  <si>
    <t>Evans</t>
  </si>
  <si>
    <t>Cascio</t>
  </si>
  <si>
    <t>Santos</t>
  </si>
  <si>
    <t>Bressner</t>
  </si>
  <si>
    <t>McGuire</t>
  </si>
  <si>
    <t>Jenkins</t>
  </si>
  <si>
    <t>Lancman</t>
  </si>
  <si>
    <t>Stadtmauer</t>
  </si>
  <si>
    <t xml:space="preserve">                             Smith</t>
  </si>
  <si>
    <t xml:space="preserve">                            Smith</t>
  </si>
  <si>
    <t>Hevesi</t>
  </si>
  <si>
    <t>Lamp</t>
  </si>
  <si>
    <t>Daniel R. Hevesi</t>
  </si>
  <si>
    <t xml:space="preserve">                        Onorato</t>
  </si>
  <si>
    <t>Kiour Kenidis</t>
  </si>
  <si>
    <t>Taveras</t>
  </si>
  <si>
    <t>Nellie R. Santiago</t>
  </si>
  <si>
    <t>Brown (SCH)</t>
  </si>
  <si>
    <t xml:space="preserve">                    Markowitz</t>
  </si>
  <si>
    <t>Healy</t>
  </si>
  <si>
    <t>Parisette</t>
  </si>
  <si>
    <t>Healy (SCH)</t>
  </si>
  <si>
    <t>Marty Markowitz</t>
  </si>
  <si>
    <t>Purcell</t>
  </si>
  <si>
    <t xml:space="preserve">                           Kruger</t>
  </si>
  <si>
    <t>Maresca</t>
  </si>
  <si>
    <t xml:space="preserve">                       Lachman</t>
  </si>
  <si>
    <t>Sutliff</t>
  </si>
  <si>
    <t>Brady</t>
  </si>
  <si>
    <t xml:space="preserve">                          Gentile</t>
  </si>
  <si>
    <t>Walker</t>
  </si>
  <si>
    <t>Vincent J. Gentile</t>
  </si>
  <si>
    <t>Bardel</t>
  </si>
  <si>
    <t xml:space="preserve">                     Goodman</t>
  </si>
  <si>
    <t xml:space="preserve">                      Goodman</t>
  </si>
  <si>
    <t>Roy M. Goodman</t>
  </si>
  <si>
    <t>Ravitz</t>
  </si>
  <si>
    <t>Murov</t>
  </si>
  <si>
    <t>Davies</t>
  </si>
  <si>
    <t xml:space="preserve">                        Paterson</t>
  </si>
  <si>
    <t>Madon</t>
  </si>
  <si>
    <t>Gallant, Jr.</t>
  </si>
  <si>
    <t xml:space="preserve">                Gonzalez, Jr.</t>
  </si>
  <si>
    <t>Dunn</t>
  </si>
  <si>
    <t xml:space="preserve">               Gonzalez, Jr.</t>
  </si>
  <si>
    <t>Newmark</t>
  </si>
  <si>
    <t>Rosado</t>
  </si>
  <si>
    <t>Tuberman</t>
  </si>
  <si>
    <t>Coyle Koppell</t>
  </si>
  <si>
    <t>Daly</t>
  </si>
  <si>
    <t>Abinanti</t>
  </si>
  <si>
    <t>McGloine</t>
  </si>
  <si>
    <t xml:space="preserve">              Oppenheimer</t>
  </si>
  <si>
    <t>Schweitzer</t>
  </si>
  <si>
    <t xml:space="preserve">                     Leibell, III</t>
  </si>
  <si>
    <t xml:space="preserve">                       Hamilton</t>
  </si>
  <si>
    <t>Zebrowski</t>
  </si>
  <si>
    <t>Flagello</t>
  </si>
  <si>
    <t xml:space="preserve">                           Breslin</t>
  </si>
  <si>
    <t>Stratton</t>
  </si>
  <si>
    <t xml:space="preserve">                         Stafford</t>
  </si>
  <si>
    <t>Ronald B. Stafford</t>
  </si>
  <si>
    <t xml:space="preserve">                           Wright</t>
  </si>
  <si>
    <t>Wright (VOT)</t>
  </si>
  <si>
    <t>La Tessa</t>
  </si>
  <si>
    <t xml:space="preserve">                DeFrancisco</t>
  </si>
  <si>
    <t xml:space="preserve">                         Seward</t>
  </si>
  <si>
    <t xml:space="preserve">                            Porter</t>
  </si>
  <si>
    <t xml:space="preserve">                           Libous</t>
  </si>
  <si>
    <t xml:space="preserve">                         Kuhl, Jr.</t>
  </si>
  <si>
    <t xml:space="preserve">                        Nozzolio</t>
  </si>
  <si>
    <t xml:space="preserve">                      Dollinger</t>
  </si>
  <si>
    <t>Morris</t>
  </si>
  <si>
    <t>Richard A. Dollinger</t>
  </si>
  <si>
    <t>Markovics</t>
  </si>
  <si>
    <t>Pagano</t>
  </si>
  <si>
    <t>Woolworth</t>
  </si>
  <si>
    <t>Murty</t>
  </si>
  <si>
    <t>Krawczyk</t>
  </si>
  <si>
    <t>Doane</t>
  </si>
  <si>
    <t xml:space="preserve">                               Rath</t>
  </si>
  <si>
    <t xml:space="preserve">          Mary Lou Rath</t>
  </si>
  <si>
    <t xml:space="preserve">                         Maziarz</t>
  </si>
  <si>
    <t xml:space="preserve">    SCH — School Choice</t>
  </si>
  <si>
    <t xml:space="preserve">    VOT — Voter Rights Party</t>
  </si>
  <si>
    <t>2  Special Election held on February 12, 2002</t>
  </si>
  <si>
    <r>
      <t>Twentieth</t>
    </r>
    <r>
      <rPr>
        <vertAlign val="superscript"/>
        <sz val="11"/>
        <rFont val="Arial"/>
        <family val="2"/>
      </rPr>
      <t>2</t>
    </r>
  </si>
  <si>
    <t>New York State by Senate District — November 7, 2000</t>
  </si>
  <si>
    <t>Shaw</t>
  </si>
  <si>
    <t>Landon</t>
  </si>
  <si>
    <t>Clay Jones</t>
  </si>
  <si>
    <t>Seeman</t>
  </si>
  <si>
    <t>Krako</t>
  </si>
  <si>
    <t>Brennan</t>
  </si>
  <si>
    <t>Connett</t>
  </si>
  <si>
    <t>Naef</t>
  </si>
  <si>
    <t>Robert</t>
  </si>
  <si>
    <t>Chamberlin</t>
  </si>
  <si>
    <t>Zelliner</t>
  </si>
  <si>
    <t>Confusione</t>
  </si>
  <si>
    <t>De Paoli</t>
  </si>
  <si>
    <t>Andwood</t>
  </si>
  <si>
    <t>Erb</t>
  </si>
  <si>
    <t xml:space="preserve">                          Steyert</t>
  </si>
  <si>
    <t>Tobias</t>
  </si>
  <si>
    <t>Reilly</t>
  </si>
  <si>
    <t xml:space="preserve">                         Holland</t>
  </si>
  <si>
    <t>Macagnone</t>
  </si>
  <si>
    <t>Craig</t>
  </si>
  <si>
    <t>McAllister</t>
  </si>
  <si>
    <t>Hagan</t>
  </si>
  <si>
    <t xml:space="preserve">                           Hagan</t>
  </si>
  <si>
    <t>Waterman</t>
  </si>
  <si>
    <t>Zeoll</t>
  </si>
  <si>
    <t xml:space="preserve">                   Waldon, Jr.</t>
  </si>
  <si>
    <t xml:space="preserve">                      Marchant</t>
  </si>
  <si>
    <t xml:space="preserve">                  Waldon, Jr.</t>
  </si>
  <si>
    <t>Marchant</t>
  </si>
  <si>
    <t>Alton R. Waldon, Jr.</t>
  </si>
  <si>
    <t>Alam</t>
  </si>
  <si>
    <t>Hill</t>
  </si>
  <si>
    <t>Adler</t>
  </si>
  <si>
    <t>Sedarbaum</t>
  </si>
  <si>
    <t>Leonard Price Stavisky</t>
  </si>
  <si>
    <t>Cook</t>
  </si>
  <si>
    <t>Taveras (FUS)</t>
  </si>
  <si>
    <t xml:space="preserve">                             Soleil</t>
  </si>
  <si>
    <t xml:space="preserve">                              Soleil</t>
  </si>
  <si>
    <t>Harris</t>
  </si>
  <si>
    <t>John Sampson</t>
  </si>
  <si>
    <t>Comas</t>
  </si>
  <si>
    <t>De Angelo</t>
  </si>
  <si>
    <t>Amer</t>
  </si>
  <si>
    <t>Mega</t>
  </si>
  <si>
    <t>Walker, II</t>
  </si>
  <si>
    <t>Gentile (FRE)</t>
  </si>
  <si>
    <t xml:space="preserve">                       Rubinek</t>
  </si>
  <si>
    <t>Magnasco</t>
  </si>
  <si>
    <t xml:space="preserve">                          Flanzer</t>
  </si>
  <si>
    <t xml:space="preserve">                       Bellinson</t>
  </si>
  <si>
    <t xml:space="preserve">                          Gomez</t>
  </si>
  <si>
    <t>Owens</t>
  </si>
  <si>
    <t>McGowan</t>
  </si>
  <si>
    <t>Brache</t>
  </si>
  <si>
    <t xml:space="preserve">                    Sternberg</t>
  </si>
  <si>
    <t xml:space="preserve">                          Rosado</t>
  </si>
  <si>
    <t>Gutierrez</t>
  </si>
  <si>
    <t>David Rosado</t>
  </si>
  <si>
    <t xml:space="preserve">                      Seabrook</t>
  </si>
  <si>
    <t>Johnson, Jr.</t>
  </si>
  <si>
    <t>Larry Seabrook</t>
  </si>
  <si>
    <t>Spallone</t>
  </si>
  <si>
    <t>Ploski</t>
  </si>
  <si>
    <t>Verni</t>
  </si>
  <si>
    <t>Kerin</t>
  </si>
  <si>
    <t>Sanchez</t>
  </si>
  <si>
    <t>Joseph R. Holland</t>
  </si>
  <si>
    <t>Chirico</t>
  </si>
  <si>
    <t>Guerin</t>
  </si>
  <si>
    <t xml:space="preserve">                             Tyner</t>
  </si>
  <si>
    <t xml:space="preserve">                          Breslin</t>
  </si>
  <si>
    <t>Schuler</t>
  </si>
  <si>
    <t xml:space="preserve">                      Hoffmann</t>
  </si>
  <si>
    <t xml:space="preserve">                     Plavoukos</t>
  </si>
  <si>
    <t>Jacobsen</t>
  </si>
  <si>
    <t>Stewart, III</t>
  </si>
  <si>
    <t>Stewart, III (UNP)</t>
  </si>
  <si>
    <t>Burgler</t>
  </si>
  <si>
    <t>Dorscheid</t>
  </si>
  <si>
    <t xml:space="preserve">                          Nanula</t>
  </si>
  <si>
    <t xml:space="preserve">                           Nanula</t>
  </si>
  <si>
    <t xml:space="preserve">      Anthony R. Nanula</t>
  </si>
  <si>
    <t>Priester</t>
  </si>
  <si>
    <t>Warner</t>
  </si>
  <si>
    <t>Roberto</t>
  </si>
  <si>
    <t xml:space="preserve">    FRE — Freedom Party</t>
  </si>
  <si>
    <t>2  Special Election held on May 25, 1999.</t>
  </si>
  <si>
    <r>
      <t>Thirty Eighth</t>
    </r>
    <r>
      <rPr>
        <vertAlign val="superscript"/>
        <sz val="11"/>
        <rFont val="Arial"/>
        <family val="2"/>
      </rPr>
      <t>2</t>
    </r>
  </si>
  <si>
    <t>New York State by Senate District — November 3, 1998</t>
  </si>
  <si>
    <t>Waldon, Jr.</t>
  </si>
  <si>
    <t>Delis</t>
  </si>
  <si>
    <t>Soleil</t>
  </si>
  <si>
    <t>Suarez</t>
  </si>
  <si>
    <t>Holland</t>
  </si>
  <si>
    <t>Henderson</t>
  </si>
  <si>
    <t>Stafford</t>
  </si>
  <si>
    <t>Hoffman</t>
  </si>
  <si>
    <t>DeFranciso</t>
  </si>
  <si>
    <t>Nanula</t>
  </si>
  <si>
    <t xml:space="preserve">    FRE — Freedom</t>
  </si>
  <si>
    <t xml:space="preserve">    FUS — Fusion</t>
  </si>
  <si>
    <t xml:space="preserve">    UNP — United People's</t>
  </si>
  <si>
    <t xml:space="preserve">    VOT — Voter Rights </t>
  </si>
  <si>
    <t xml:space="preserve">                     Democrat</t>
  </si>
  <si>
    <t xml:space="preserve">                    Manginelli</t>
  </si>
  <si>
    <t xml:space="preserve">                     LaValle (PTC)</t>
  </si>
  <si>
    <t xml:space="preserve">                        Huggins</t>
  </si>
  <si>
    <t xml:space="preserve">                      Robinson</t>
  </si>
  <si>
    <t xml:space="preserve">                       O'Beirne</t>
  </si>
  <si>
    <t xml:space="preserve">                       Trunzo (PTC)</t>
  </si>
  <si>
    <t xml:space="preserve">                         Haugen</t>
  </si>
  <si>
    <t xml:space="preserve">                        Harknett</t>
  </si>
  <si>
    <t xml:space="preserve">                     Langberg</t>
  </si>
  <si>
    <t xml:space="preserve">                        Nachbar</t>
  </si>
  <si>
    <t xml:space="preserve">                        Tully, Jr.</t>
  </si>
  <si>
    <t xml:space="preserve">                     McAllister</t>
  </si>
  <si>
    <t>Michael J. Tully, Jr.</t>
  </si>
  <si>
    <t xml:space="preserve">                            Banks</t>
  </si>
  <si>
    <t xml:space="preserve">                         Balboni</t>
  </si>
  <si>
    <t xml:space="preserve">                             Banks</t>
  </si>
  <si>
    <t xml:space="preserve">                     Cuddy, Jr.</t>
  </si>
  <si>
    <t xml:space="preserve">                      McKnight</t>
  </si>
  <si>
    <t xml:space="preserve">                               Levy</t>
  </si>
  <si>
    <t xml:space="preserve">                            Levy (FRE)</t>
  </si>
  <si>
    <t>Norman J. Levy</t>
  </si>
  <si>
    <t xml:space="preserve">                             Miller</t>
  </si>
  <si>
    <t xml:space="preserve">                               Gain</t>
  </si>
  <si>
    <t xml:space="preserve">               Montgomery</t>
  </si>
  <si>
    <t xml:space="preserve">                       Padavan</t>
  </si>
  <si>
    <t xml:space="preserve">                           Barnes</t>
  </si>
  <si>
    <t xml:space="preserve">                        Maloney</t>
  </si>
  <si>
    <t xml:space="preserve">                              Gold</t>
  </si>
  <si>
    <t xml:space="preserve">                           Halper</t>
  </si>
  <si>
    <t>Emanuel R. Gold</t>
  </si>
  <si>
    <t xml:space="preserve">                        Hanratty</t>
  </si>
  <si>
    <t xml:space="preserve">                     Maltese (FRE)</t>
  </si>
  <si>
    <t>Leonard P. Stavisky</t>
  </si>
  <si>
    <t xml:space="preserve">                       Feliciano</t>
  </si>
  <si>
    <t xml:space="preserve">                       Trzcinski</t>
  </si>
  <si>
    <t xml:space="preserve">                        Mareska</t>
  </si>
  <si>
    <t xml:space="preserve">                       Babbush</t>
  </si>
  <si>
    <t xml:space="preserve">                     Blackwell</t>
  </si>
  <si>
    <t xml:space="preserve">                         Greene</t>
  </si>
  <si>
    <t xml:space="preserve">                               John</t>
  </si>
  <si>
    <t xml:space="preserve">                           Salvati</t>
  </si>
  <si>
    <t xml:space="preserve">                            Calise</t>
  </si>
  <si>
    <t xml:space="preserve">                        Calise (FRE)</t>
  </si>
  <si>
    <t xml:space="preserve">                      Gangemi</t>
  </si>
  <si>
    <t xml:space="preserve">                        DiCarlo</t>
  </si>
  <si>
    <t xml:space="preserve">                        Rubinek</t>
  </si>
  <si>
    <t xml:space="preserve">                            Crane</t>
  </si>
  <si>
    <t xml:space="preserve">                             Abate</t>
  </si>
  <si>
    <t>Catherine M. Abate</t>
  </si>
  <si>
    <t xml:space="preserve">                          Mosley</t>
  </si>
  <si>
    <t xml:space="preserve">                         Leichter</t>
  </si>
  <si>
    <t xml:space="preserve">               Mahoney, Jr.</t>
  </si>
  <si>
    <t xml:space="preserve">                        Leichter</t>
  </si>
  <si>
    <t>Franz S. Leichter</t>
  </si>
  <si>
    <t xml:space="preserve">                           Brown</t>
  </si>
  <si>
    <t xml:space="preserve">                     Newmark</t>
  </si>
  <si>
    <t xml:space="preserve">                   Espada, Jr.</t>
  </si>
  <si>
    <t xml:space="preserve">                     Sauerzopf</t>
  </si>
  <si>
    <t xml:space="preserve">                     Seabrook</t>
  </si>
  <si>
    <t xml:space="preserve">                        Abinanti</t>
  </si>
  <si>
    <t xml:space="preserve">                          Gotsch</t>
  </si>
  <si>
    <t xml:space="preserve">                            Brody</t>
  </si>
  <si>
    <t xml:space="preserve">                         McEvoy</t>
  </si>
  <si>
    <t xml:space="preserve">                              Zarin</t>
  </si>
  <si>
    <t xml:space="preserve">               St. Lawrence</t>
  </si>
  <si>
    <t xml:space="preserve">                    McPhillips</t>
  </si>
  <si>
    <t xml:space="preserve">                           Ruelke</t>
  </si>
  <si>
    <t xml:space="preserve">                             Cook</t>
  </si>
  <si>
    <t xml:space="preserve">                        Bertone</t>
  </si>
  <si>
    <t>Charles D. Cook</t>
  </si>
  <si>
    <t xml:space="preserve">                        Hoblock</t>
  </si>
  <si>
    <t xml:space="preserve">                          O'Brien</t>
  </si>
  <si>
    <t xml:space="preserve">                          Micklas</t>
  </si>
  <si>
    <t xml:space="preserve">                        Stafford</t>
  </si>
  <si>
    <t xml:space="preserve">                            Burke</t>
  </si>
  <si>
    <t xml:space="preserve">                       Wright (FRE)</t>
  </si>
  <si>
    <t xml:space="preserve">                      Wright (VRP)</t>
  </si>
  <si>
    <t xml:space="preserve">                         Thomas</t>
  </si>
  <si>
    <t xml:space="preserve">                    Sweetland</t>
  </si>
  <si>
    <t xml:space="preserve">                       Franzese</t>
  </si>
  <si>
    <t xml:space="preserve">                           Vacca</t>
  </si>
  <si>
    <t xml:space="preserve">                            Nasca</t>
  </si>
  <si>
    <t xml:space="preserve">                            Callan</t>
  </si>
  <si>
    <t xml:space="preserve">                            Hayes</t>
  </si>
  <si>
    <t xml:space="preserve">                            Ulkins</t>
  </si>
  <si>
    <t xml:space="preserve">                         Present</t>
  </si>
  <si>
    <t>Jess J. Present</t>
  </si>
  <si>
    <t xml:space="preserve">             Heymanowski</t>
  </si>
  <si>
    <t xml:space="preserve">            Heymanowski</t>
  </si>
  <si>
    <t xml:space="preserve">                            Roach</t>
  </si>
  <si>
    <t xml:space="preserve">                       Walczak</t>
  </si>
  <si>
    <t xml:space="preserve">                          Ireland</t>
  </si>
  <si>
    <t xml:space="preserve">    PTC — Property Tax Cut</t>
  </si>
  <si>
    <t xml:space="preserve">    VRP — Voter Rights Party</t>
  </si>
  <si>
    <t>2  Special Election held November 4, 1997.</t>
  </si>
  <si>
    <t>New York State by Senate District — November 5, 1996</t>
  </si>
  <si>
    <t>Huggins</t>
  </si>
  <si>
    <t>O'Beirne</t>
  </si>
  <si>
    <t>Haugen</t>
  </si>
  <si>
    <t>Langberg</t>
  </si>
  <si>
    <r>
      <t>Seventh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</si>
  <si>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Banks</t>
  </si>
  <si>
    <t>Halper</t>
  </si>
  <si>
    <t>Salvati</t>
  </si>
  <si>
    <t>Rispoli</t>
  </si>
  <si>
    <t>Polhemus</t>
  </si>
  <si>
    <t xml:space="preserve">                  Goodman (FRE)</t>
  </si>
  <si>
    <t xml:space="preserve">                       Flanzer (FRE)</t>
  </si>
  <si>
    <t>Castellanos</t>
  </si>
  <si>
    <t>Rawluk</t>
  </si>
  <si>
    <t>Palau</t>
  </si>
  <si>
    <t>McEvoy</t>
  </si>
  <si>
    <t>Whelan, Jr.</t>
  </si>
  <si>
    <t xml:space="preserve">                 Leibell, III (FRE)</t>
  </si>
  <si>
    <t xml:space="preserve">                         Brody (FRE)</t>
  </si>
  <si>
    <t xml:space="preserve">                         Spano (FRE)</t>
  </si>
  <si>
    <t xml:space="preserve">                      Holland (FRE)</t>
  </si>
  <si>
    <t>St. Lawrence</t>
  </si>
  <si>
    <t xml:space="preserve">                        Salvati (FRE)</t>
  </si>
  <si>
    <t xml:space="preserve">                      Greene (FRE)</t>
  </si>
  <si>
    <t xml:space="preserve">                           Soleil (FRE)</t>
  </si>
  <si>
    <t xml:space="preserve">                        Halper (FRE)</t>
  </si>
  <si>
    <t xml:space="preserve">                        Barnes (FRE)</t>
  </si>
  <si>
    <t xml:space="preserve">                   Marchant (FRE)</t>
  </si>
  <si>
    <t xml:space="preserve">                         Skelos (FRE)</t>
  </si>
  <si>
    <t xml:space="preserve">                       Balboni (FRE)</t>
  </si>
  <si>
    <t xml:space="preserve">                      Tully, Jr. (FRE)</t>
  </si>
  <si>
    <t xml:space="preserve">                      Hannon (FRE)</t>
  </si>
  <si>
    <t xml:space="preserve">                 Marcellino (FRE)</t>
  </si>
  <si>
    <t>Rabenda</t>
  </si>
  <si>
    <t xml:space="preserve">                      Harnett (FRE)</t>
  </si>
  <si>
    <t xml:space="preserve">                    Hoblock (FRE)</t>
  </si>
  <si>
    <t xml:space="preserve">                          Bruno (FRE)</t>
  </si>
  <si>
    <t xml:space="preserve">                         Farley (FRE)</t>
  </si>
  <si>
    <t xml:space="preserve">                      Stafford (FRE)</t>
  </si>
  <si>
    <t>Burke</t>
  </si>
  <si>
    <t xml:space="preserve">                          Meier (FRE)</t>
  </si>
  <si>
    <t xml:space="preserve">                 Sweetland (FRE)</t>
  </si>
  <si>
    <t xml:space="preserve">             DeFrancisco (FRE)</t>
  </si>
  <si>
    <t xml:space="preserve">                      Seward (FRE)</t>
  </si>
  <si>
    <t xml:space="preserve">                        Libous (FRE)</t>
  </si>
  <si>
    <t xml:space="preserve">                     Kuhl, Jr. (FRE)</t>
  </si>
  <si>
    <t xml:space="preserve">                     Nozzolio (FRE)</t>
  </si>
  <si>
    <t xml:space="preserve">                           Alesi (FRE)</t>
  </si>
  <si>
    <t>Stockmeister</t>
  </si>
  <si>
    <t xml:space="preserve">                      Present (FRE)</t>
  </si>
  <si>
    <t xml:space="preserve">                   Hamilton (FRE)</t>
  </si>
  <si>
    <t xml:space="preserve">          Heymanowski (FRE)</t>
  </si>
  <si>
    <t xml:space="preserve">                        Volker (FRE)</t>
  </si>
  <si>
    <t xml:space="preserve">                            Rath (FRE)</t>
  </si>
  <si>
    <t xml:space="preserve">                      Maziarz (FRE)</t>
  </si>
  <si>
    <t>Shelley Mayer</t>
  </si>
  <si>
    <r>
      <t>Thirtieth</t>
    </r>
    <r>
      <rPr>
        <vertAlign val="superscript"/>
        <sz val="11"/>
        <rFont val="Arial"/>
        <family val="2"/>
      </rPr>
      <t>3</t>
    </r>
  </si>
  <si>
    <t>Simmons</t>
  </si>
  <si>
    <t>Vargas</t>
  </si>
  <si>
    <t>Brian Benjamin</t>
  </si>
  <si>
    <r>
      <t>Thirty-Second</t>
    </r>
    <r>
      <rPr>
        <vertAlign val="superscript"/>
        <sz val="11"/>
        <rFont val="Arial"/>
        <family val="2"/>
      </rPr>
      <t>4</t>
    </r>
  </si>
  <si>
    <r>
      <t>Thirty-Seventh</t>
    </r>
    <r>
      <rPr>
        <vertAlign val="superscript"/>
        <sz val="11"/>
        <rFont val="Arial"/>
        <family val="2"/>
      </rPr>
      <t>4</t>
    </r>
  </si>
  <si>
    <t>4  Special election held on April 24, 2018.</t>
  </si>
  <si>
    <t>3  Special election held on May 23, 2017.</t>
  </si>
  <si>
    <r>
      <t>Twenty-Seventh</t>
    </r>
    <r>
      <rPr>
        <vertAlign val="superscript"/>
        <sz val="11"/>
        <rFont val="Arial"/>
        <family val="2"/>
      </rPr>
      <t>2</t>
    </r>
  </si>
  <si>
    <t>Fidler</t>
  </si>
  <si>
    <t>Lewis A. Fidler</t>
  </si>
  <si>
    <r>
      <t>Thirteenth</t>
    </r>
    <r>
      <rPr>
        <vertAlign val="superscript"/>
        <sz val="11"/>
        <rFont val="Arial"/>
        <family val="2"/>
      </rPr>
      <t>2</t>
    </r>
  </si>
  <si>
    <t>Beltrani</t>
  </si>
  <si>
    <t>Monserrate (YWC)</t>
  </si>
  <si>
    <t xml:space="preserve">    YWC — Yes We Can</t>
  </si>
  <si>
    <t>2  Special election held on March 16, 2010.</t>
  </si>
  <si>
    <t>New York State by Senate District—November 8, 2016</t>
  </si>
  <si>
    <t>Morgan</t>
  </si>
  <si>
    <t>Borrello</t>
  </si>
  <si>
    <t>George M. Borrello</t>
  </si>
  <si>
    <t>2  Special election held on November 5, 2019.</t>
  </si>
  <si>
    <t>SOURCE: New York State Board of Elections; www.elections.ny.gov (last viewed November 9, 2020).</t>
  </si>
  <si>
    <t>New York State by Senate District—November 6, 2018</t>
  </si>
  <si>
    <t>New York State by Senate District — November 2,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</si>
</sst>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$&quot;#,##0_);\(&quot;$&quot;#,##0\)"/>
  </numFmts>
  <fonts count="10">
    <font>
      <sz val="12"/>
      <name val="Rockwell"/>
    </font>
    <font>
      <sz val="12"/>
      <name val="Clearface Regular"/>
      <family val="1"/>
    </font>
    <font>
      <sz val="12"/>
      <name val="Times New Roman"/>
      <family val="1"/>
    </font>
    <font>
      <sz val="11"/>
      <name val="Arial"/>
      <family val="2"/>
    </font>
    <font>
      <b/>
      <sz val="11"/>
      <color rgb="FFFF0000"/>
      <name val="Arial"/>
      <family val="2"/>
    </font>
    <font>
      <vertAlign val="superscript"/>
      <sz val="11"/>
      <name val="Arial"/>
      <family val="2"/>
    </font>
    <font>
      <i/>
      <sz val="11"/>
      <color indexed="8"/>
      <name val="Arial"/>
      <family val="2"/>
    </font>
    <font>
      <b/>
      <sz val="16"/>
      <color indexed="8"/>
      <name val="Arial"/>
      <family val="2"/>
    </font>
    <font>
      <sz val="11"/>
      <color theme="1"/>
      <name val="Arial"/>
      <family val="2"/>
    </font>
    <font>
      <u/>
      <sz val="12"/>
      <color theme="10"/>
      <name val="Rockwell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2" borderId="0"/>
    <xf numFmtId="0" fontId="9" fillId="2" borderId="0" applyNumberFormat="0" applyFill="0" applyBorder="0" applyAlignment="0" applyProtection="0"/>
  </cellStyleXfs>
  <cellXfs count="73">
    <xf numFmtId="0" fontId="0" fillId="2" borderId="0" xfId="0" applyNumberFormat="1"/>
    <xf numFmtId="0" fontId="1" fillId="2" borderId="0" xfId="0" applyNumberFormat="1" applyFont="1"/>
    <xf numFmtId="0" fontId="2" fillId="2" borderId="0" xfId="0" applyNumberFormat="1" applyFont="1"/>
    <xf numFmtId="0" fontId="3" fillId="2" borderId="0" xfId="0" applyNumberFormat="1" applyFont="1"/>
    <xf numFmtId="0" fontId="4" fillId="2" borderId="0" xfId="0" applyNumberFormat="1" applyFont="1"/>
    <xf numFmtId="5" fontId="3" fillId="2" borderId="0" xfId="0" applyNumberFormat="1" applyFont="1" applyProtection="1">
      <protection locked="0"/>
    </xf>
    <xf numFmtId="37" fontId="3" fillId="2" borderId="0" xfId="0" applyNumberFormat="1" applyFont="1"/>
    <xf numFmtId="0" fontId="3" fillId="2" borderId="0" xfId="0" applyNumberFormat="1" applyFont="1" applyProtection="1">
      <protection locked="0"/>
    </xf>
    <xf numFmtId="3" fontId="3" fillId="2" borderId="0" xfId="0" applyNumberFormat="1" applyFont="1" applyAlignment="1" applyProtection="1">
      <alignment horizontal="right"/>
      <protection locked="0"/>
    </xf>
    <xf numFmtId="3" fontId="3" fillId="2" borderId="0" xfId="0" applyNumberFormat="1" applyFont="1"/>
    <xf numFmtId="3" fontId="3" fillId="2" borderId="0" xfId="0" applyNumberFormat="1" applyFont="1" applyAlignment="1">
      <alignment horizontal="right"/>
    </xf>
    <xf numFmtId="3" fontId="3" fillId="2" borderId="0" xfId="0" applyNumberFormat="1" applyFont="1" applyProtection="1">
      <protection locked="0"/>
    </xf>
    <xf numFmtId="0" fontId="3" fillId="0" borderId="0" xfId="0" applyNumberFormat="1" applyFont="1" applyFill="1" applyProtection="1">
      <protection locked="0"/>
    </xf>
    <xf numFmtId="3" fontId="3" fillId="0" borderId="0" xfId="0" applyNumberFormat="1" applyFont="1" applyFill="1" applyAlignment="1" applyProtection="1">
      <alignment horizontal="right"/>
      <protection locked="0"/>
    </xf>
    <xf numFmtId="3" fontId="3" fillId="0" borderId="0" xfId="0" applyNumberFormat="1" applyFont="1" applyFill="1" applyAlignment="1">
      <alignment horizontal="right"/>
    </xf>
    <xf numFmtId="0" fontId="3" fillId="0" borderId="0" xfId="0" applyNumberFormat="1" applyFont="1" applyFill="1"/>
    <xf numFmtId="3" fontId="3" fillId="0" borderId="0" xfId="0" applyNumberFormat="1" applyFont="1" applyFill="1" applyProtection="1">
      <protection locked="0"/>
    </xf>
    <xf numFmtId="3" fontId="3" fillId="0" borderId="0" xfId="0" applyNumberFormat="1" applyFont="1" applyFill="1"/>
    <xf numFmtId="0" fontId="3" fillId="2" borderId="0" xfId="0" applyNumberFormat="1" applyFont="1" applyAlignment="1">
      <alignment horizontal="right"/>
    </xf>
    <xf numFmtId="0" fontId="3" fillId="2" borderId="0" xfId="0" applyNumberFormat="1" applyFont="1" applyBorder="1"/>
    <xf numFmtId="3" fontId="3" fillId="2" borderId="0" xfId="0" applyNumberFormat="1" applyFont="1" applyBorder="1"/>
    <xf numFmtId="3" fontId="6" fillId="2" borderId="0" xfId="0" applyNumberFormat="1" applyFont="1" applyBorder="1" applyAlignment="1"/>
    <xf numFmtId="0" fontId="3" fillId="2" borderId="0" xfId="0" applyNumberFormat="1" applyFont="1" applyBorder="1" applyAlignment="1"/>
    <xf numFmtId="3" fontId="3" fillId="0" borderId="0" xfId="0" applyNumberFormat="1" applyFont="1" applyFill="1" applyBorder="1"/>
    <xf numFmtId="0" fontId="3" fillId="0" borderId="0" xfId="0" applyNumberFormat="1" applyFont="1" applyFill="1" applyBorder="1"/>
    <xf numFmtId="3" fontId="3" fillId="2" borderId="0" xfId="0" quotePrefix="1" applyNumberFormat="1" applyFont="1" applyProtection="1">
      <protection locked="0"/>
    </xf>
    <xf numFmtId="1" fontId="3" fillId="2" borderId="0" xfId="0" applyNumberFormat="1" applyFont="1" applyBorder="1" applyAlignment="1" applyProtection="1">
      <alignment horizontal="right"/>
      <protection locked="0"/>
    </xf>
    <xf numFmtId="0" fontId="3" fillId="2" borderId="0" xfId="0" applyNumberFormat="1" applyFont="1" applyBorder="1" applyAlignment="1" applyProtection="1">
      <alignment horizontal="right"/>
      <protection locked="0"/>
    </xf>
    <xf numFmtId="0" fontId="3" fillId="2" borderId="1" xfId="0" applyNumberFormat="1" applyFont="1" applyBorder="1"/>
    <xf numFmtId="5" fontId="7" fillId="2" borderId="0" xfId="0" applyNumberFormat="1" applyFont="1" applyProtection="1">
      <protection locked="0"/>
    </xf>
    <xf numFmtId="5" fontId="7" fillId="2" borderId="0" xfId="0" quotePrefix="1" applyNumberFormat="1" applyFont="1" applyProtection="1">
      <protection locked="0"/>
    </xf>
    <xf numFmtId="0" fontId="3" fillId="2" borderId="2" xfId="0" applyNumberFormat="1" applyFont="1" applyBorder="1" applyProtection="1">
      <protection locked="0"/>
    </xf>
    <xf numFmtId="1" fontId="3" fillId="2" borderId="2" xfId="0" applyNumberFormat="1" applyFont="1" applyBorder="1" applyAlignment="1" applyProtection="1">
      <alignment horizontal="right"/>
      <protection locked="0"/>
    </xf>
    <xf numFmtId="0" fontId="3" fillId="2" borderId="2" xfId="0" applyNumberFormat="1" applyFont="1" applyBorder="1" applyAlignment="1" applyProtection="1">
      <alignment horizontal="right"/>
      <protection locked="0"/>
    </xf>
    <xf numFmtId="0" fontId="3" fillId="2" borderId="2" xfId="0" applyNumberFormat="1" applyFont="1" applyBorder="1" applyAlignment="1" applyProtection="1">
      <alignment horizontal="right" wrapText="1"/>
      <protection locked="0"/>
    </xf>
    <xf numFmtId="0" fontId="3" fillId="2" borderId="2" xfId="0" applyNumberFormat="1" applyFont="1" applyBorder="1" applyAlignment="1">
      <alignment horizontal="right" wrapText="1"/>
    </xf>
    <xf numFmtId="0" fontId="3" fillId="3" borderId="0" xfId="0" applyNumberFormat="1" applyFont="1" applyFill="1" applyProtection="1">
      <protection locked="0"/>
    </xf>
    <xf numFmtId="3" fontId="3" fillId="3" borderId="0" xfId="0" applyNumberFormat="1" applyFont="1" applyFill="1" applyAlignment="1" applyProtection="1">
      <alignment horizontal="right"/>
      <protection locked="0"/>
    </xf>
    <xf numFmtId="3" fontId="3" fillId="3" borderId="0" xfId="0" applyNumberFormat="1" applyFont="1" applyFill="1"/>
    <xf numFmtId="0" fontId="3" fillId="3" borderId="0" xfId="0" applyNumberFormat="1" applyFont="1" applyFill="1"/>
    <xf numFmtId="3" fontId="3" fillId="3" borderId="0" xfId="0" applyNumberFormat="1" applyFont="1" applyFill="1" applyAlignment="1">
      <alignment horizontal="right"/>
    </xf>
    <xf numFmtId="3" fontId="3" fillId="3" borderId="0" xfId="0" applyNumberFormat="1" applyFont="1" applyFill="1" applyProtection="1">
      <protection locked="0"/>
    </xf>
    <xf numFmtId="0" fontId="3" fillId="3" borderId="0" xfId="0" applyNumberFormat="1" applyFont="1" applyFill="1" applyAlignment="1">
      <alignment horizontal="right"/>
    </xf>
    <xf numFmtId="3" fontId="3" fillId="3" borderId="0" xfId="0" applyNumberFormat="1" applyFont="1" applyFill="1" applyBorder="1"/>
    <xf numFmtId="3" fontId="3" fillId="3" borderId="0" xfId="0" quotePrefix="1" applyNumberFormat="1" applyFont="1" applyFill="1" applyProtection="1">
      <protection locked="0"/>
    </xf>
    <xf numFmtId="0" fontId="1" fillId="3" borderId="0" xfId="0" applyNumberFormat="1" applyFont="1" applyFill="1"/>
    <xf numFmtId="3" fontId="2" fillId="2" borderId="0" xfId="0" applyNumberFormat="1" applyFont="1"/>
    <xf numFmtId="0" fontId="0" fillId="3" borderId="0" xfId="0" applyNumberFormat="1" applyFill="1"/>
    <xf numFmtId="3" fontId="3" fillId="3" borderId="0" xfId="0" applyNumberFormat="1" applyFont="1" applyFill="1" applyBorder="1" applyAlignment="1">
      <alignment horizontal="right"/>
    </xf>
    <xf numFmtId="3" fontId="1" fillId="2" borderId="0" xfId="0" applyNumberFormat="1" applyFont="1"/>
    <xf numFmtId="0" fontId="3" fillId="3" borderId="0" xfId="0" applyNumberFormat="1" applyFont="1" applyFill="1" applyBorder="1"/>
    <xf numFmtId="3" fontId="4" fillId="3" borderId="0" xfId="0" applyNumberFormat="1" applyFont="1" applyFill="1" applyAlignment="1" applyProtection="1">
      <alignment horizontal="center"/>
      <protection locked="0"/>
    </xf>
    <xf numFmtId="3" fontId="4" fillId="3" borderId="0" xfId="0" applyNumberFormat="1" applyFont="1" applyFill="1" applyAlignment="1">
      <alignment horizontal="center"/>
    </xf>
    <xf numFmtId="0" fontId="3" fillId="2" borderId="3" xfId="0" applyNumberFormat="1" applyFont="1" applyBorder="1"/>
    <xf numFmtId="0" fontId="3" fillId="2" borderId="3" xfId="0" applyNumberFormat="1" applyFont="1" applyBorder="1" applyAlignment="1">
      <alignment horizontal="right"/>
    </xf>
    <xf numFmtId="0" fontId="3" fillId="2" borderId="4" xfId="0" applyNumberFormat="1" applyFont="1" applyBorder="1" applyProtection="1">
      <protection locked="0"/>
    </xf>
    <xf numFmtId="1" fontId="3" fillId="2" borderId="4" xfId="0" applyNumberFormat="1" applyFont="1" applyBorder="1" applyAlignment="1" applyProtection="1">
      <alignment horizontal="right"/>
      <protection locked="0"/>
    </xf>
    <xf numFmtId="0" fontId="3" fillId="2" borderId="4" xfId="0" applyNumberFormat="1" applyFont="1" applyBorder="1" applyAlignment="1" applyProtection="1">
      <alignment horizontal="right"/>
      <protection locked="0"/>
    </xf>
    <xf numFmtId="0" fontId="3" fillId="2" borderId="4" xfId="0" applyNumberFormat="1" applyFont="1" applyBorder="1" applyAlignment="1">
      <alignment horizontal="right"/>
    </xf>
    <xf numFmtId="0" fontId="3" fillId="2" borderId="4" xfId="0" applyNumberFormat="1" applyFont="1" applyBorder="1" applyAlignment="1" applyProtection="1">
      <alignment horizontal="right" wrapText="1"/>
      <protection locked="0"/>
    </xf>
    <xf numFmtId="3" fontId="3" fillId="0" borderId="0" xfId="0" applyNumberFormat="1" applyFont="1" applyFill="1" applyBorder="1" applyAlignment="1">
      <alignment horizontal="right"/>
    </xf>
    <xf numFmtId="3" fontId="3" fillId="4" borderId="0" xfId="0" applyNumberFormat="1" applyFont="1" applyFill="1" applyProtection="1">
      <protection locked="0"/>
    </xf>
    <xf numFmtId="3" fontId="3" fillId="4" borderId="0" xfId="0" applyNumberFormat="1" applyFont="1" applyFill="1" applyAlignment="1" applyProtection="1">
      <alignment horizontal="right"/>
      <protection locked="0"/>
    </xf>
    <xf numFmtId="3" fontId="3" fillId="4" borderId="0" xfId="0" applyNumberFormat="1" applyFont="1" applyFill="1"/>
    <xf numFmtId="1" fontId="3" fillId="3" borderId="0" xfId="0" applyNumberFormat="1" applyFont="1" applyFill="1" applyBorder="1" applyAlignment="1" applyProtection="1">
      <alignment horizontal="right"/>
      <protection locked="0"/>
    </xf>
    <xf numFmtId="0" fontId="3" fillId="3" borderId="0" xfId="0" applyNumberFormat="1" applyFont="1" applyFill="1" applyBorder="1" applyAlignment="1" applyProtection="1">
      <alignment horizontal="right"/>
      <protection locked="0"/>
    </xf>
    <xf numFmtId="3" fontId="3" fillId="3" borderId="0" xfId="0" applyNumberFormat="1" applyFont="1" applyFill="1" applyBorder="1" applyAlignment="1" applyProtection="1">
      <alignment horizontal="right"/>
      <protection locked="0"/>
    </xf>
    <xf numFmtId="3" fontId="3" fillId="2" borderId="0" xfId="0" quotePrefix="1" applyNumberFormat="1" applyFont="1"/>
    <xf numFmtId="0" fontId="0" fillId="2" borderId="0" xfId="0" applyNumberFormat="1"/>
    <xf numFmtId="3" fontId="3" fillId="2" borderId="3" xfId="0" applyNumberFormat="1" applyFont="1" applyBorder="1"/>
    <xf numFmtId="3" fontId="8" fillId="0" borderId="0" xfId="0" applyNumberFormat="1" applyFont="1" applyFill="1" applyBorder="1"/>
    <xf numFmtId="3" fontId="8" fillId="2" borderId="0" xfId="0" applyNumberFormat="1" applyFont="1"/>
    <xf numFmtId="3" fontId="9" fillId="2" borderId="0" xfId="1" applyNumberForma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lections.ny.gov/2021ElectionResults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elections.ny.gov/2021ElectionResults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elections.ny.gov/2021ElectionResults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elections.ny.gov/2021ElectionResult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lections.ny.gov/2021ElectionResults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lections.ny.gov/2021ElectionResults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lections.ny.gov/2021ElectionResults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lections.ny.gov/2021ElectionResults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lections.ny.gov/2021ElectionResults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elections.ny.gov/2021ElectionResults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elections.ny.gov/2021ElectionResults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elections.ny.gov/2021ElectionResult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0"/>
  <sheetViews>
    <sheetView tabSelected="1" zoomScaleNormal="100" workbookViewId="0"/>
  </sheetViews>
  <sheetFormatPr defaultRowHeight="15.75"/>
  <cols>
    <col min="1" max="1" width="17.6640625" style="1" customWidth="1"/>
    <col min="2" max="12" width="15.77734375" style="1" customWidth="1"/>
    <col min="13" max="13" width="19.5546875" style="1" customWidth="1"/>
    <col min="14" max="16384" width="8.88671875" style="1"/>
  </cols>
  <sheetData>
    <row r="1" spans="1:17" ht="20.25">
      <c r="A1" s="29" t="s">
        <v>0</v>
      </c>
      <c r="B1" s="5"/>
      <c r="C1" s="5"/>
      <c r="D1" s="5"/>
      <c r="E1" s="5"/>
      <c r="F1" s="5"/>
      <c r="G1" s="5"/>
      <c r="H1" s="5"/>
      <c r="I1" s="5"/>
      <c r="J1" s="5"/>
      <c r="K1" s="4"/>
      <c r="L1" s="3"/>
      <c r="M1" s="3"/>
      <c r="N1" s="3"/>
      <c r="O1" s="3"/>
      <c r="P1" s="2"/>
      <c r="Q1" s="2"/>
    </row>
    <row r="2" spans="1:17" ht="20.25">
      <c r="A2" s="30" t="s">
        <v>1285</v>
      </c>
      <c r="B2" s="5"/>
      <c r="C2" s="5"/>
      <c r="D2" s="3"/>
      <c r="E2" s="3"/>
      <c r="F2" s="3"/>
      <c r="G2" s="3"/>
      <c r="H2" s="3"/>
      <c r="I2" s="3"/>
      <c r="J2" s="3"/>
      <c r="K2" s="4"/>
      <c r="L2" s="3"/>
      <c r="M2" s="3"/>
      <c r="N2" s="3"/>
      <c r="O2" s="3"/>
      <c r="P2" s="2"/>
      <c r="Q2" s="2"/>
    </row>
    <row r="3" spans="1:1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</row>
    <row r="4" spans="1:17" ht="29.25">
      <c r="A4" s="31" t="s">
        <v>1</v>
      </c>
      <c r="B4" s="32" t="s">
        <v>73</v>
      </c>
      <c r="C4" s="33" t="s">
        <v>2</v>
      </c>
      <c r="D4" s="33" t="s">
        <v>80</v>
      </c>
      <c r="E4" s="33" t="s">
        <v>101</v>
      </c>
      <c r="F4" s="34" t="s">
        <v>196</v>
      </c>
      <c r="G4" s="34" t="s">
        <v>198</v>
      </c>
      <c r="H4" s="34" t="s">
        <v>199</v>
      </c>
      <c r="I4" s="34" t="s">
        <v>200</v>
      </c>
      <c r="J4" s="34" t="s">
        <v>201</v>
      </c>
      <c r="K4" s="33" t="s">
        <v>195</v>
      </c>
      <c r="L4" s="35" t="s">
        <v>197</v>
      </c>
      <c r="M4" s="33" t="s">
        <v>3</v>
      </c>
      <c r="N4" s="3"/>
      <c r="O4" s="3"/>
      <c r="P4" s="2"/>
      <c r="Q4" s="2"/>
    </row>
    <row r="5" spans="1:17">
      <c r="A5" s="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3"/>
      <c r="N5" s="3"/>
      <c r="O5" s="3"/>
      <c r="P5" s="2"/>
      <c r="Q5" s="2"/>
    </row>
    <row r="6" spans="1:17">
      <c r="A6" s="7" t="s">
        <v>4</v>
      </c>
      <c r="B6" s="8" t="s">
        <v>159</v>
      </c>
      <c r="C6" s="8" t="s">
        <v>113</v>
      </c>
      <c r="D6" s="8" t="s">
        <v>113</v>
      </c>
      <c r="E6" s="8" t="s">
        <v>74</v>
      </c>
      <c r="F6" s="8"/>
      <c r="G6" s="8"/>
      <c r="H6" s="8" t="s">
        <v>74</v>
      </c>
      <c r="I6" s="8"/>
      <c r="J6" s="8"/>
      <c r="K6" s="8"/>
      <c r="L6" s="9">
        <f>4076+51+54</f>
        <v>4181</v>
      </c>
      <c r="M6" s="8" t="s">
        <v>114</v>
      </c>
      <c r="N6" s="9">
        <f>SUM(B6:L7)</f>
        <v>128988</v>
      </c>
      <c r="O6" s="3"/>
      <c r="P6" s="2"/>
      <c r="Q6" s="2"/>
    </row>
    <row r="7" spans="1:17">
      <c r="A7" s="3"/>
      <c r="B7" s="10">
        <v>53790</v>
      </c>
      <c r="C7" s="10">
        <v>60586</v>
      </c>
      <c r="D7" s="10">
        <v>3150</v>
      </c>
      <c r="E7" s="10">
        <v>6920</v>
      </c>
      <c r="F7" s="10"/>
      <c r="G7" s="10"/>
      <c r="H7" s="10">
        <v>361</v>
      </c>
      <c r="I7" s="10"/>
      <c r="J7" s="10"/>
      <c r="K7" s="10"/>
      <c r="L7" s="9"/>
      <c r="M7" s="11"/>
      <c r="N7" s="3"/>
      <c r="O7" s="3"/>
      <c r="P7" s="2"/>
      <c r="Q7" s="2"/>
    </row>
    <row r="8" spans="1:17">
      <c r="A8" s="3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3"/>
      <c r="O8" s="3"/>
      <c r="P8" s="2"/>
      <c r="Q8" s="2"/>
    </row>
    <row r="9" spans="1:17">
      <c r="A9" s="36" t="s">
        <v>6</v>
      </c>
      <c r="B9" s="37" t="s">
        <v>202</v>
      </c>
      <c r="C9" s="37" t="s">
        <v>81</v>
      </c>
      <c r="D9" s="37" t="s">
        <v>81</v>
      </c>
      <c r="E9" s="37" t="s">
        <v>81</v>
      </c>
      <c r="F9" s="37"/>
      <c r="G9" s="37" t="s">
        <v>202</v>
      </c>
      <c r="H9" s="37" t="s">
        <v>81</v>
      </c>
      <c r="I9" s="37"/>
      <c r="J9" s="37"/>
      <c r="K9" s="37"/>
      <c r="L9" s="38">
        <f>3215+34+14</f>
        <v>3263</v>
      </c>
      <c r="M9" s="37" t="s">
        <v>82</v>
      </c>
      <c r="N9" s="9">
        <f>SUM(B9:L10)</f>
        <v>123469</v>
      </c>
      <c r="O9" s="3"/>
      <c r="P9" s="2"/>
      <c r="Q9" s="2"/>
    </row>
    <row r="10" spans="1:17">
      <c r="A10" s="39"/>
      <c r="B10" s="40">
        <v>52861</v>
      </c>
      <c r="C10" s="40">
        <v>57621</v>
      </c>
      <c r="D10" s="40">
        <v>1524</v>
      </c>
      <c r="E10" s="40">
        <v>6682</v>
      </c>
      <c r="F10" s="40"/>
      <c r="G10" s="40">
        <v>1291</v>
      </c>
      <c r="H10" s="40">
        <v>227</v>
      </c>
      <c r="I10" s="40"/>
      <c r="J10" s="40"/>
      <c r="K10" s="40"/>
      <c r="L10" s="38"/>
      <c r="M10" s="41"/>
      <c r="N10" s="3"/>
      <c r="O10" s="3"/>
      <c r="P10" s="2"/>
      <c r="Q10" s="2"/>
    </row>
    <row r="11" spans="1:17">
      <c r="A11" s="3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3"/>
      <c r="O11" s="3"/>
      <c r="P11" s="2"/>
      <c r="Q11" s="2"/>
    </row>
    <row r="12" spans="1:17">
      <c r="A12" s="7" t="s">
        <v>7</v>
      </c>
      <c r="B12" s="8" t="s">
        <v>203</v>
      </c>
      <c r="C12" s="8" t="s">
        <v>204</v>
      </c>
      <c r="D12" s="8" t="s">
        <v>204</v>
      </c>
      <c r="E12" s="8" t="s">
        <v>204</v>
      </c>
      <c r="F12" s="8" t="s">
        <v>203</v>
      </c>
      <c r="G12" s="8" t="s">
        <v>203</v>
      </c>
      <c r="H12" s="8" t="s">
        <v>204</v>
      </c>
      <c r="I12" s="8"/>
      <c r="J12" s="8"/>
      <c r="K12" s="8"/>
      <c r="L12" s="9">
        <f>2237+17+13</f>
        <v>2267</v>
      </c>
      <c r="M12" s="8" t="s">
        <v>205</v>
      </c>
      <c r="N12" s="9">
        <f>SUM(B12:L13)</f>
        <v>97591</v>
      </c>
      <c r="O12" s="3"/>
      <c r="P12" s="2"/>
      <c r="Q12" s="2"/>
    </row>
    <row r="13" spans="1:17">
      <c r="A13" s="3"/>
      <c r="B13" s="10">
        <v>46967</v>
      </c>
      <c r="C13" s="10">
        <v>40195</v>
      </c>
      <c r="D13" s="10">
        <v>960</v>
      </c>
      <c r="E13" s="10">
        <v>4798</v>
      </c>
      <c r="F13" s="10">
        <v>1428</v>
      </c>
      <c r="G13" s="10">
        <v>765</v>
      </c>
      <c r="H13" s="10">
        <v>211</v>
      </c>
      <c r="I13" s="10"/>
      <c r="J13" s="10"/>
      <c r="K13" s="10"/>
      <c r="L13" s="9"/>
      <c r="M13" s="11"/>
      <c r="N13" s="3"/>
      <c r="O13" s="3"/>
      <c r="P13" s="2"/>
      <c r="Q13" s="2"/>
    </row>
    <row r="14" spans="1:17">
      <c r="A14" s="3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3"/>
      <c r="O14" s="3"/>
      <c r="P14" s="2"/>
      <c r="Q14" s="2"/>
    </row>
    <row r="15" spans="1:17">
      <c r="A15" s="36" t="s">
        <v>9</v>
      </c>
      <c r="B15" s="37" t="s">
        <v>206</v>
      </c>
      <c r="C15" s="37" t="s">
        <v>136</v>
      </c>
      <c r="D15" s="37" t="s">
        <v>136</v>
      </c>
      <c r="E15" s="37" t="s">
        <v>136</v>
      </c>
      <c r="F15" s="37" t="s">
        <v>206</v>
      </c>
      <c r="G15" s="37" t="s">
        <v>206</v>
      </c>
      <c r="H15" s="37" t="s">
        <v>136</v>
      </c>
      <c r="I15" s="37"/>
      <c r="J15" s="37"/>
      <c r="K15" s="37"/>
      <c r="L15" s="38">
        <f>3098+31+25</f>
        <v>3154</v>
      </c>
      <c r="M15" s="37" t="s">
        <v>137</v>
      </c>
      <c r="N15" s="9">
        <f>SUM(B15:L16)</f>
        <v>105052</v>
      </c>
      <c r="O15" s="3"/>
      <c r="P15" s="2"/>
      <c r="Q15" s="2"/>
    </row>
    <row r="16" spans="1:17">
      <c r="A16" s="39"/>
      <c r="B16" s="40">
        <v>47294</v>
      </c>
      <c r="C16" s="40">
        <v>46143</v>
      </c>
      <c r="D16" s="40">
        <v>1247</v>
      </c>
      <c r="E16" s="40">
        <v>5172</v>
      </c>
      <c r="F16" s="40">
        <v>1194</v>
      </c>
      <c r="G16" s="40">
        <v>643</v>
      </c>
      <c r="H16" s="40">
        <v>205</v>
      </c>
      <c r="I16" s="40"/>
      <c r="J16" s="40"/>
      <c r="K16" s="40"/>
      <c r="L16" s="38"/>
      <c r="M16" s="41"/>
      <c r="N16" s="3"/>
      <c r="O16" s="3"/>
      <c r="P16" s="2"/>
      <c r="Q16" s="2"/>
    </row>
    <row r="17" spans="1:17">
      <c r="A17" s="3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3"/>
      <c r="O17" s="3"/>
      <c r="P17" s="2"/>
      <c r="Q17" s="2"/>
    </row>
    <row r="18" spans="1:17">
      <c r="A18" s="7" t="s">
        <v>11</v>
      </c>
      <c r="B18" s="10" t="s">
        <v>160</v>
      </c>
      <c r="C18" s="10" t="s">
        <v>12</v>
      </c>
      <c r="D18" s="10" t="s">
        <v>12</v>
      </c>
      <c r="E18" s="10" t="s">
        <v>75</v>
      </c>
      <c r="F18" s="10" t="s">
        <v>160</v>
      </c>
      <c r="G18" s="10" t="s">
        <v>160</v>
      </c>
      <c r="H18" s="10" t="s">
        <v>75</v>
      </c>
      <c r="I18" s="10"/>
      <c r="J18" s="10"/>
      <c r="K18" s="10"/>
      <c r="L18" s="10">
        <f>2538+38+29</f>
        <v>2605</v>
      </c>
      <c r="M18" s="10" t="s">
        <v>13</v>
      </c>
      <c r="N18" s="9">
        <f>SUM(B18:L19)</f>
        <v>126457</v>
      </c>
      <c r="O18" s="3"/>
      <c r="P18" s="2"/>
      <c r="Q18" s="2"/>
    </row>
    <row r="19" spans="1:17">
      <c r="A19" s="3"/>
      <c r="B19" s="10">
        <v>65673</v>
      </c>
      <c r="C19" s="10">
        <v>49411</v>
      </c>
      <c r="D19" s="10">
        <v>952</v>
      </c>
      <c r="E19" s="10">
        <v>5223</v>
      </c>
      <c r="F19" s="10">
        <v>1465</v>
      </c>
      <c r="G19" s="10">
        <v>889</v>
      </c>
      <c r="H19" s="10">
        <v>239</v>
      </c>
      <c r="I19" s="10"/>
      <c r="J19" s="10"/>
      <c r="K19" s="9"/>
      <c r="L19" s="9"/>
      <c r="M19" s="9"/>
      <c r="N19" s="3"/>
      <c r="O19" s="3"/>
      <c r="P19" s="2"/>
      <c r="Q19" s="2"/>
    </row>
    <row r="20" spans="1:1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9"/>
      <c r="M20" s="9"/>
      <c r="N20" s="3"/>
      <c r="O20" s="3"/>
      <c r="P20" s="2"/>
      <c r="Q20" s="2"/>
    </row>
    <row r="21" spans="1:17">
      <c r="A21" s="36" t="s">
        <v>15</v>
      </c>
      <c r="B21" s="40" t="s">
        <v>207</v>
      </c>
      <c r="C21" s="40" t="s">
        <v>16</v>
      </c>
      <c r="D21" s="40" t="s">
        <v>16</v>
      </c>
      <c r="E21" s="40" t="s">
        <v>76</v>
      </c>
      <c r="F21" s="40" t="s">
        <v>207</v>
      </c>
      <c r="G21" s="40" t="s">
        <v>207</v>
      </c>
      <c r="H21" s="40" t="s">
        <v>76</v>
      </c>
      <c r="I21" s="40"/>
      <c r="J21" s="40"/>
      <c r="K21" s="40"/>
      <c r="L21" s="40">
        <f>3034+79+40</f>
        <v>3153</v>
      </c>
      <c r="M21" s="40" t="s">
        <v>208</v>
      </c>
      <c r="N21" s="9">
        <f>SUM(B21:L22)</f>
        <v>111753</v>
      </c>
      <c r="O21" s="3"/>
      <c r="P21" s="2"/>
      <c r="Q21" s="2"/>
    </row>
    <row r="22" spans="1:17">
      <c r="A22" s="39"/>
      <c r="B22" s="40">
        <v>53630</v>
      </c>
      <c r="C22" s="40">
        <v>47510</v>
      </c>
      <c r="D22" s="40">
        <v>810</v>
      </c>
      <c r="E22" s="40">
        <v>4906</v>
      </c>
      <c r="F22" s="40">
        <v>1028</v>
      </c>
      <c r="G22" s="40">
        <v>546</v>
      </c>
      <c r="H22" s="40">
        <v>170</v>
      </c>
      <c r="I22" s="40"/>
      <c r="J22" s="40"/>
      <c r="K22" s="40"/>
      <c r="L22" s="38"/>
      <c r="M22" s="38"/>
      <c r="N22" s="3"/>
      <c r="O22" s="3"/>
      <c r="P22" s="2"/>
      <c r="Q22" s="2"/>
    </row>
    <row r="23" spans="1:17">
      <c r="A23" s="3"/>
      <c r="B23" s="3"/>
      <c r="C23" s="3"/>
      <c r="D23" s="3"/>
      <c r="E23" s="3"/>
      <c r="F23" s="3"/>
      <c r="G23" s="3"/>
      <c r="H23" s="3"/>
      <c r="I23" s="3"/>
      <c r="J23" s="3"/>
      <c r="K23" s="9"/>
      <c r="L23" s="9"/>
      <c r="M23" s="9"/>
      <c r="N23" s="3"/>
      <c r="O23" s="3"/>
      <c r="P23" s="2"/>
      <c r="Q23" s="2"/>
    </row>
    <row r="24" spans="1:17">
      <c r="A24" s="12" t="s">
        <v>18</v>
      </c>
      <c r="B24" s="13" t="s">
        <v>209</v>
      </c>
      <c r="C24" s="13" t="s">
        <v>161</v>
      </c>
      <c r="D24" s="13" t="s">
        <v>161</v>
      </c>
      <c r="E24" s="13" t="s">
        <v>161</v>
      </c>
      <c r="F24" s="13" t="s">
        <v>209</v>
      </c>
      <c r="G24" s="13" t="s">
        <v>209</v>
      </c>
      <c r="H24" s="13" t="s">
        <v>161</v>
      </c>
      <c r="I24" s="13"/>
      <c r="J24" s="13"/>
      <c r="K24" s="14"/>
      <c r="L24" s="14">
        <f>1997+90+26</f>
        <v>2113</v>
      </c>
      <c r="M24" s="13" t="s">
        <v>210</v>
      </c>
      <c r="N24" s="9">
        <f>SUM(B24:L25)</f>
        <v>115865</v>
      </c>
      <c r="O24" s="3"/>
      <c r="P24" s="2"/>
      <c r="Q24" s="2"/>
    </row>
    <row r="25" spans="1:17">
      <c r="A25" s="15"/>
      <c r="B25" s="14">
        <v>60969</v>
      </c>
      <c r="C25" s="14">
        <v>46115</v>
      </c>
      <c r="D25" s="14">
        <v>771</v>
      </c>
      <c r="E25" s="14">
        <v>3959</v>
      </c>
      <c r="F25" s="14">
        <v>1120</v>
      </c>
      <c r="G25" s="14">
        <v>588</v>
      </c>
      <c r="H25" s="14">
        <v>230</v>
      </c>
      <c r="I25" s="14"/>
      <c r="J25" s="14"/>
      <c r="K25" s="14"/>
      <c r="L25" s="14"/>
      <c r="M25" s="16"/>
      <c r="N25" s="3"/>
      <c r="O25" s="3"/>
      <c r="P25" s="2"/>
      <c r="Q25" s="2"/>
    </row>
    <row r="26" spans="1:1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7"/>
      <c r="M26" s="17"/>
      <c r="N26" s="3"/>
      <c r="O26" s="3"/>
      <c r="P26" s="2"/>
      <c r="Q26" s="2"/>
    </row>
    <row r="27" spans="1:17">
      <c r="A27" s="36" t="s">
        <v>21</v>
      </c>
      <c r="B27" s="37" t="s">
        <v>162</v>
      </c>
      <c r="C27" s="37" t="s">
        <v>211</v>
      </c>
      <c r="D27" s="37" t="s">
        <v>211</v>
      </c>
      <c r="E27" s="37" t="s">
        <v>211</v>
      </c>
      <c r="F27" s="37" t="s">
        <v>162</v>
      </c>
      <c r="G27" s="37" t="s">
        <v>162</v>
      </c>
      <c r="H27" s="37" t="s">
        <v>211</v>
      </c>
      <c r="I27" s="37"/>
      <c r="J27" s="37"/>
      <c r="K27" s="37"/>
      <c r="L27" s="40">
        <f>3308+55+38</f>
        <v>3401</v>
      </c>
      <c r="M27" s="37" t="s">
        <v>163</v>
      </c>
      <c r="N27" s="38">
        <f>SUM(B27:L28)</f>
        <v>119568</v>
      </c>
      <c r="O27" s="3"/>
      <c r="P27" s="2"/>
      <c r="Q27" s="2"/>
    </row>
    <row r="28" spans="1:17">
      <c r="A28" s="39"/>
      <c r="B28" s="40">
        <v>61784</v>
      </c>
      <c r="C28" s="40">
        <v>46719</v>
      </c>
      <c r="D28" s="40">
        <v>764</v>
      </c>
      <c r="E28" s="40">
        <v>4831</v>
      </c>
      <c r="F28" s="40">
        <v>1240</v>
      </c>
      <c r="G28" s="40">
        <v>655</v>
      </c>
      <c r="H28" s="40">
        <v>174</v>
      </c>
      <c r="I28" s="40"/>
      <c r="J28" s="40"/>
      <c r="K28" s="40"/>
      <c r="L28" s="38"/>
      <c r="M28" s="41"/>
      <c r="N28" s="39"/>
      <c r="O28" s="3"/>
      <c r="P28" s="2"/>
      <c r="Q28" s="2"/>
    </row>
    <row r="29" spans="1:17">
      <c r="A29" s="3"/>
      <c r="B29" s="3"/>
      <c r="C29" s="3"/>
      <c r="D29" s="3"/>
      <c r="E29" s="3"/>
      <c r="F29" s="3"/>
      <c r="G29" s="3"/>
      <c r="H29" s="3"/>
      <c r="I29" s="3"/>
      <c r="J29" s="3"/>
      <c r="K29" s="9"/>
      <c r="L29" s="9"/>
      <c r="M29" s="9"/>
      <c r="N29" s="3"/>
      <c r="O29" s="3"/>
      <c r="P29" s="2"/>
      <c r="Q29" s="2"/>
    </row>
    <row r="30" spans="1:17">
      <c r="A30" s="7" t="s">
        <v>23</v>
      </c>
      <c r="B30" s="8" t="s">
        <v>164</v>
      </c>
      <c r="C30" s="8" t="s">
        <v>212</v>
      </c>
      <c r="D30" s="8" t="s">
        <v>164</v>
      </c>
      <c r="E30" s="8" t="s">
        <v>212</v>
      </c>
      <c r="F30" s="8" t="s">
        <v>164</v>
      </c>
      <c r="G30" s="8" t="s">
        <v>164</v>
      </c>
      <c r="H30" s="8" t="s">
        <v>164</v>
      </c>
      <c r="I30" s="8"/>
      <c r="J30" s="8"/>
      <c r="K30" s="8" t="s">
        <v>213</v>
      </c>
      <c r="L30" s="10">
        <f>2467+130+32</f>
        <v>2629</v>
      </c>
      <c r="M30" s="8" t="s">
        <v>165</v>
      </c>
      <c r="N30" s="9">
        <f>SUM(B30:L31)</f>
        <v>121458</v>
      </c>
      <c r="O30" s="3"/>
      <c r="P30" s="2"/>
      <c r="Q30" s="2"/>
    </row>
    <row r="31" spans="1:17">
      <c r="A31" s="3"/>
      <c r="B31" s="10">
        <v>70538</v>
      </c>
      <c r="C31" s="10">
        <v>41095</v>
      </c>
      <c r="D31" s="10">
        <v>918</v>
      </c>
      <c r="E31" s="10">
        <v>4044</v>
      </c>
      <c r="F31" s="10">
        <v>1110</v>
      </c>
      <c r="G31" s="10">
        <v>693</v>
      </c>
      <c r="H31" s="10">
        <v>153</v>
      </c>
      <c r="I31" s="10"/>
      <c r="J31" s="10"/>
      <c r="K31" s="10">
        <v>278</v>
      </c>
      <c r="L31" s="9"/>
      <c r="M31" s="11"/>
      <c r="N31" s="3"/>
      <c r="O31" s="3"/>
      <c r="P31" s="2"/>
      <c r="Q31" s="2"/>
    </row>
    <row r="32" spans="1:17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9"/>
      <c r="N32" s="3"/>
      <c r="O32" s="3"/>
      <c r="P32" s="2"/>
      <c r="Q32" s="2"/>
    </row>
    <row r="33" spans="1:17">
      <c r="A33" s="36" t="s">
        <v>24</v>
      </c>
      <c r="B33" s="37" t="s">
        <v>147</v>
      </c>
      <c r="C33" s="42"/>
      <c r="D33" s="37"/>
      <c r="E33" s="37"/>
      <c r="F33" s="37" t="s">
        <v>147</v>
      </c>
      <c r="G33" s="37"/>
      <c r="H33" s="37" t="s">
        <v>147</v>
      </c>
      <c r="I33" s="37"/>
      <c r="J33" s="37"/>
      <c r="K33" s="37"/>
      <c r="L33" s="40">
        <f>6270+214</f>
        <v>6484</v>
      </c>
      <c r="M33" s="37" t="s">
        <v>138</v>
      </c>
      <c r="N33" s="9">
        <f>SUM(B33:L34)</f>
        <v>70188</v>
      </c>
      <c r="O33" s="3"/>
      <c r="P33" s="2"/>
      <c r="Q33" s="2"/>
    </row>
    <row r="34" spans="1:17">
      <c r="A34" s="39"/>
      <c r="B34" s="40">
        <v>62095</v>
      </c>
      <c r="C34" s="38"/>
      <c r="D34" s="40"/>
      <c r="E34" s="40"/>
      <c r="F34" s="40">
        <v>1461</v>
      </c>
      <c r="G34" s="40"/>
      <c r="H34" s="40">
        <v>148</v>
      </c>
      <c r="I34" s="40"/>
      <c r="J34" s="40"/>
      <c r="K34" s="40"/>
      <c r="L34" s="38"/>
      <c r="M34" s="41"/>
      <c r="N34" s="3"/>
      <c r="O34" s="3"/>
      <c r="P34" s="2"/>
      <c r="Q34" s="2"/>
    </row>
    <row r="35" spans="1:17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9"/>
      <c r="M35" s="9"/>
      <c r="N35" s="3"/>
      <c r="O35" s="3"/>
      <c r="P35" s="2"/>
      <c r="Q35" s="2"/>
    </row>
    <row r="36" spans="1:17">
      <c r="A36" s="3" t="s">
        <v>26</v>
      </c>
      <c r="B36" s="10" t="s">
        <v>214</v>
      </c>
      <c r="C36" s="10" t="s">
        <v>215</v>
      </c>
      <c r="D36" s="10" t="s">
        <v>116</v>
      </c>
      <c r="E36" s="10" t="s">
        <v>216</v>
      </c>
      <c r="F36" s="10"/>
      <c r="G36" s="10" t="s">
        <v>116</v>
      </c>
      <c r="H36" s="10"/>
      <c r="I36" s="10"/>
      <c r="J36" s="10"/>
      <c r="K36" s="10"/>
      <c r="L36" s="9">
        <f>2827+41</f>
        <v>2868</v>
      </c>
      <c r="M36" s="8" t="s">
        <v>217</v>
      </c>
      <c r="N36" s="9">
        <f>SUM(B36:L37)</f>
        <v>81341</v>
      </c>
      <c r="O36" s="3"/>
      <c r="P36" s="2"/>
      <c r="Q36" s="2"/>
    </row>
    <row r="37" spans="1:17">
      <c r="A37" s="7"/>
      <c r="B37" s="11">
        <v>42047</v>
      </c>
      <c r="C37" s="10">
        <v>19062</v>
      </c>
      <c r="D37" s="10">
        <v>15528</v>
      </c>
      <c r="E37" s="10">
        <v>1123</v>
      </c>
      <c r="F37" s="10"/>
      <c r="G37" s="10">
        <v>713</v>
      </c>
      <c r="H37" s="10"/>
      <c r="I37" s="10"/>
      <c r="J37" s="10"/>
      <c r="K37" s="11"/>
      <c r="L37" s="9"/>
      <c r="M37" s="11"/>
      <c r="N37" s="3"/>
      <c r="O37" s="3"/>
      <c r="P37" s="2"/>
      <c r="Q37" s="2"/>
    </row>
    <row r="38" spans="1:17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9"/>
      <c r="M38" s="9"/>
      <c r="N38" s="3"/>
      <c r="O38" s="3"/>
      <c r="P38" s="2"/>
      <c r="Q38" s="2"/>
    </row>
    <row r="39" spans="1:17">
      <c r="A39" s="39" t="s">
        <v>28</v>
      </c>
      <c r="B39" s="40" t="s">
        <v>117</v>
      </c>
      <c r="C39" s="40"/>
      <c r="D39" s="40"/>
      <c r="E39" s="40"/>
      <c r="F39" s="40" t="s">
        <v>117</v>
      </c>
      <c r="G39" s="40"/>
      <c r="H39" s="40"/>
      <c r="I39" s="40"/>
      <c r="J39" s="40"/>
      <c r="K39" s="40"/>
      <c r="L39" s="38">
        <f>9995+417</f>
        <v>10412</v>
      </c>
      <c r="M39" s="37" t="s">
        <v>118</v>
      </c>
      <c r="N39" s="9">
        <f>SUM(B39:L40)</f>
        <v>82380</v>
      </c>
      <c r="O39" s="3"/>
      <c r="P39" s="2"/>
      <c r="Q39" s="2"/>
    </row>
    <row r="40" spans="1:17">
      <c r="A40" s="36"/>
      <c r="B40" s="40">
        <v>65892</v>
      </c>
      <c r="C40" s="38"/>
      <c r="D40" s="40"/>
      <c r="E40" s="40"/>
      <c r="F40" s="40">
        <v>6076</v>
      </c>
      <c r="G40" s="40"/>
      <c r="H40" s="40"/>
      <c r="I40" s="40"/>
      <c r="J40" s="40"/>
      <c r="K40" s="40"/>
      <c r="L40" s="38"/>
      <c r="M40" s="41"/>
      <c r="N40" s="3"/>
      <c r="O40" s="3"/>
      <c r="P40" s="2"/>
      <c r="Q40" s="2"/>
    </row>
    <row r="41" spans="1:17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9"/>
      <c r="N41" s="3"/>
      <c r="O41" s="3"/>
      <c r="P41" s="2"/>
      <c r="Q41" s="2"/>
    </row>
    <row r="42" spans="1:17">
      <c r="A42" s="3" t="s">
        <v>29</v>
      </c>
      <c r="B42" s="10" t="s">
        <v>218</v>
      </c>
      <c r="C42" s="10"/>
      <c r="D42" s="10" t="s">
        <v>119</v>
      </c>
      <c r="E42" s="10"/>
      <c r="F42" s="10" t="s">
        <v>218</v>
      </c>
      <c r="G42" s="10" t="s">
        <v>119</v>
      </c>
      <c r="H42" s="10" t="s">
        <v>119</v>
      </c>
      <c r="I42" s="10"/>
      <c r="J42" s="10"/>
      <c r="K42" s="10"/>
      <c r="L42" s="9">
        <f>5786+105</f>
        <v>5891</v>
      </c>
      <c r="M42" s="8" t="s">
        <v>219</v>
      </c>
      <c r="N42" s="9">
        <f>SUM(B42:L43)</f>
        <v>54289</v>
      </c>
      <c r="O42" s="3"/>
      <c r="P42" s="2"/>
      <c r="Q42" s="2"/>
    </row>
    <row r="43" spans="1:17">
      <c r="A43" s="7"/>
      <c r="B43" s="10">
        <v>41573</v>
      </c>
      <c r="C43" s="9"/>
      <c r="D43" s="10">
        <v>3769</v>
      </c>
      <c r="E43" s="10"/>
      <c r="F43" s="10">
        <v>1886</v>
      </c>
      <c r="G43" s="10">
        <v>404</v>
      </c>
      <c r="H43" s="10">
        <v>766</v>
      </c>
      <c r="I43" s="10"/>
      <c r="J43" s="10"/>
      <c r="K43" s="10"/>
      <c r="L43" s="9"/>
      <c r="M43" s="11"/>
      <c r="N43" s="3"/>
      <c r="O43" s="3"/>
      <c r="P43" s="2"/>
      <c r="Q43" s="2"/>
    </row>
    <row r="44" spans="1:17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9"/>
      <c r="M44" s="11"/>
      <c r="N44" s="3"/>
      <c r="O44" s="3"/>
      <c r="P44" s="2"/>
      <c r="Q44" s="2"/>
    </row>
    <row r="45" spans="1:17">
      <c r="A45" s="39" t="s">
        <v>32</v>
      </c>
      <c r="B45" s="37" t="s">
        <v>148</v>
      </c>
      <c r="C45" s="37"/>
      <c r="D45" s="37"/>
      <c r="E45" s="37"/>
      <c r="F45" s="37" t="s">
        <v>148</v>
      </c>
      <c r="G45" s="37"/>
      <c r="H45" s="37" t="s">
        <v>148</v>
      </c>
      <c r="I45" s="37"/>
      <c r="J45" s="37"/>
      <c r="K45" s="37"/>
      <c r="L45" s="38">
        <f>7412+218</f>
        <v>7630</v>
      </c>
      <c r="M45" s="40" t="s">
        <v>149</v>
      </c>
      <c r="N45" s="9">
        <f>SUM(B45:L46)</f>
        <v>86007</v>
      </c>
      <c r="O45" s="3"/>
      <c r="P45" s="2"/>
      <c r="Q45" s="2"/>
    </row>
    <row r="46" spans="1:17">
      <c r="A46" s="39"/>
      <c r="B46" s="40">
        <v>76188</v>
      </c>
      <c r="C46" s="38"/>
      <c r="D46" s="40"/>
      <c r="E46" s="40"/>
      <c r="F46" s="40">
        <v>1972</v>
      </c>
      <c r="G46" s="40"/>
      <c r="H46" s="40">
        <v>217</v>
      </c>
      <c r="I46" s="40"/>
      <c r="J46" s="40"/>
      <c r="K46" s="38"/>
      <c r="L46" s="38"/>
      <c r="M46" s="41"/>
      <c r="N46" s="3"/>
      <c r="O46" s="3"/>
      <c r="P46" s="2"/>
      <c r="Q46" s="2"/>
    </row>
    <row r="47" spans="1:17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9"/>
      <c r="M47" s="11"/>
      <c r="N47" s="3"/>
      <c r="O47" s="3"/>
      <c r="P47" s="2"/>
      <c r="Q47" s="2"/>
    </row>
    <row r="48" spans="1:17">
      <c r="A48" s="3" t="s">
        <v>33</v>
      </c>
      <c r="B48" s="8" t="s">
        <v>107</v>
      </c>
      <c r="C48" s="8" t="s">
        <v>220</v>
      </c>
      <c r="D48" s="8" t="s">
        <v>220</v>
      </c>
      <c r="E48" s="8" t="s">
        <v>220</v>
      </c>
      <c r="F48" s="8" t="s">
        <v>107</v>
      </c>
      <c r="G48" s="8"/>
      <c r="H48" s="8" t="s">
        <v>220</v>
      </c>
      <c r="I48" s="8"/>
      <c r="J48" s="8"/>
      <c r="K48" s="10"/>
      <c r="L48" s="9">
        <f>2703+60</f>
        <v>2763</v>
      </c>
      <c r="M48" s="10" t="s">
        <v>108</v>
      </c>
      <c r="N48" s="9">
        <f>SUM(B48:L49)</f>
        <v>76012</v>
      </c>
      <c r="O48" s="3"/>
      <c r="P48" s="2"/>
      <c r="Q48" s="2"/>
    </row>
    <row r="49" spans="1:17">
      <c r="A49" s="3"/>
      <c r="B49" s="9">
        <v>44706</v>
      </c>
      <c r="C49" s="9">
        <v>22729</v>
      </c>
      <c r="D49" s="10">
        <v>611</v>
      </c>
      <c r="E49" s="10">
        <v>2762</v>
      </c>
      <c r="F49" s="10">
        <v>2262</v>
      </c>
      <c r="G49" s="10"/>
      <c r="H49" s="10">
        <v>179</v>
      </c>
      <c r="I49" s="10"/>
      <c r="J49" s="10"/>
      <c r="K49" s="10"/>
      <c r="L49" s="9"/>
      <c r="M49" s="11"/>
      <c r="N49" s="3"/>
      <c r="O49" s="3"/>
      <c r="P49" s="2"/>
      <c r="Q49" s="2"/>
    </row>
    <row r="50" spans="1:17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11"/>
      <c r="N50" s="3"/>
      <c r="O50" s="3"/>
      <c r="P50" s="2"/>
      <c r="Q50" s="2"/>
    </row>
    <row r="51" spans="1:17">
      <c r="A51" s="36" t="s">
        <v>35</v>
      </c>
      <c r="B51" s="37" t="s">
        <v>36</v>
      </c>
      <c r="C51" s="37"/>
      <c r="D51" s="37"/>
      <c r="E51" s="37"/>
      <c r="F51" s="37" t="s">
        <v>120</v>
      </c>
      <c r="G51" s="37" t="s">
        <v>120</v>
      </c>
      <c r="H51" s="37" t="s">
        <v>221</v>
      </c>
      <c r="I51" s="37"/>
      <c r="J51" s="37"/>
      <c r="K51" s="37"/>
      <c r="L51" s="38">
        <f>9010+213</f>
        <v>9223</v>
      </c>
      <c r="M51" s="37" t="s">
        <v>77</v>
      </c>
      <c r="N51" s="9">
        <f>SUM(B51:L52)</f>
        <v>54092</v>
      </c>
      <c r="O51" s="3"/>
      <c r="P51" s="2"/>
      <c r="Q51" s="2"/>
    </row>
    <row r="52" spans="1:17">
      <c r="A52" s="39"/>
      <c r="B52" s="40">
        <v>39951</v>
      </c>
      <c r="C52" s="40"/>
      <c r="D52" s="38"/>
      <c r="E52" s="38"/>
      <c r="F52" s="38">
        <v>2201</v>
      </c>
      <c r="G52" s="38">
        <v>664</v>
      </c>
      <c r="H52" s="38">
        <v>2053</v>
      </c>
      <c r="I52" s="38"/>
      <c r="J52" s="38"/>
      <c r="K52" s="40"/>
      <c r="L52" s="38"/>
      <c r="M52" s="38"/>
      <c r="N52" s="3"/>
      <c r="O52" s="3"/>
      <c r="P52" s="2"/>
      <c r="Q52" s="2"/>
    </row>
    <row r="53" spans="1:17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9"/>
      <c r="M53" s="11"/>
      <c r="N53" s="3"/>
      <c r="O53" s="3"/>
      <c r="P53" s="2"/>
      <c r="Q53" s="2"/>
    </row>
    <row r="54" spans="1:17">
      <c r="A54" s="7" t="s">
        <v>38</v>
      </c>
      <c r="B54" s="8" t="s">
        <v>139</v>
      </c>
      <c r="C54" s="8" t="s">
        <v>139</v>
      </c>
      <c r="D54" s="18" t="s">
        <v>139</v>
      </c>
      <c r="E54" s="8" t="s">
        <v>139</v>
      </c>
      <c r="F54" s="8" t="s">
        <v>222</v>
      </c>
      <c r="G54" s="8"/>
      <c r="H54" s="8" t="s">
        <v>122</v>
      </c>
      <c r="I54" s="8"/>
      <c r="J54" s="8"/>
      <c r="K54" s="8"/>
      <c r="L54" s="9">
        <f>1781+395</f>
        <v>2176</v>
      </c>
      <c r="M54" s="8" t="s">
        <v>140</v>
      </c>
      <c r="N54" s="9">
        <f>SUM(B54:L55)</f>
        <v>51064</v>
      </c>
      <c r="O54" s="3"/>
      <c r="P54" s="2"/>
      <c r="Q54" s="2"/>
    </row>
    <row r="55" spans="1:17">
      <c r="A55" s="3"/>
      <c r="B55" s="10">
        <v>20585</v>
      </c>
      <c r="C55" s="9">
        <v>18152</v>
      </c>
      <c r="D55" s="3">
        <v>524</v>
      </c>
      <c r="E55" s="10">
        <v>2283</v>
      </c>
      <c r="F55" s="10">
        <v>6611</v>
      </c>
      <c r="G55" s="10"/>
      <c r="H55" s="10">
        <v>733</v>
      </c>
      <c r="I55" s="10"/>
      <c r="J55" s="10"/>
      <c r="K55" s="11"/>
      <c r="L55" s="9"/>
      <c r="M55" s="9"/>
      <c r="N55" s="3"/>
      <c r="O55" s="3"/>
      <c r="P55" s="2"/>
      <c r="Q55" s="2"/>
    </row>
    <row r="56" spans="1:17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9"/>
      <c r="M56" s="11"/>
      <c r="N56" s="3"/>
      <c r="O56" s="3"/>
      <c r="P56" s="2"/>
      <c r="Q56" s="2"/>
    </row>
    <row r="57" spans="1:17">
      <c r="A57" s="36" t="s">
        <v>41</v>
      </c>
      <c r="B57" s="37" t="s">
        <v>223</v>
      </c>
      <c r="C57" s="37"/>
      <c r="D57" s="37"/>
      <c r="E57" s="37"/>
      <c r="F57" s="37"/>
      <c r="G57" s="37"/>
      <c r="H57" s="37"/>
      <c r="I57" s="37"/>
      <c r="J57" s="37"/>
      <c r="K57" s="37"/>
      <c r="L57" s="38">
        <f>6610+594</f>
        <v>7204</v>
      </c>
      <c r="M57" s="37" t="s">
        <v>224</v>
      </c>
      <c r="N57" s="9">
        <f>SUM(B57:L58)</f>
        <v>78533</v>
      </c>
      <c r="O57" s="3"/>
      <c r="P57" s="2"/>
      <c r="Q57" s="2"/>
    </row>
    <row r="58" spans="1:17">
      <c r="A58" s="39"/>
      <c r="B58" s="40">
        <v>71329</v>
      </c>
      <c r="C58" s="40"/>
      <c r="D58" s="38"/>
      <c r="E58" s="38"/>
      <c r="F58" s="38"/>
      <c r="G58" s="38"/>
      <c r="H58" s="38"/>
      <c r="I58" s="38"/>
      <c r="J58" s="38"/>
      <c r="K58" s="40"/>
      <c r="L58" s="40"/>
      <c r="M58" s="38"/>
      <c r="N58" s="3"/>
      <c r="O58" s="3"/>
      <c r="P58" s="2"/>
      <c r="Q58" s="2"/>
    </row>
    <row r="59" spans="1:17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9"/>
      <c r="M59" s="9"/>
      <c r="N59" s="3"/>
      <c r="O59" s="3"/>
      <c r="P59" s="2"/>
      <c r="Q59" s="2"/>
    </row>
    <row r="60" spans="1:17">
      <c r="A60" s="3" t="s">
        <v>45</v>
      </c>
      <c r="B60" s="10" t="s">
        <v>166</v>
      </c>
      <c r="C60" s="10" t="s">
        <v>225</v>
      </c>
      <c r="D60" s="10"/>
      <c r="E60" s="10" t="s">
        <v>225</v>
      </c>
      <c r="F60" s="10" t="s">
        <v>166</v>
      </c>
      <c r="G60" s="10"/>
      <c r="H60" s="10"/>
      <c r="I60" s="10"/>
      <c r="J60" s="10"/>
      <c r="K60" s="10"/>
      <c r="L60" s="9">
        <f>2641+56</f>
        <v>2697</v>
      </c>
      <c r="M60" s="8" t="s">
        <v>167</v>
      </c>
      <c r="N60" s="9">
        <f>SUM(B60:L61)</f>
        <v>79837</v>
      </c>
      <c r="O60" s="3"/>
      <c r="P60" s="2"/>
      <c r="Q60" s="2"/>
    </row>
    <row r="61" spans="1:17">
      <c r="A61" s="7"/>
      <c r="B61" s="10">
        <v>68041</v>
      </c>
      <c r="C61" s="9">
        <v>7117</v>
      </c>
      <c r="D61" s="10"/>
      <c r="E61" s="10">
        <v>703</v>
      </c>
      <c r="F61" s="10">
        <v>1279</v>
      </c>
      <c r="G61" s="10"/>
      <c r="H61" s="10"/>
      <c r="I61" s="10"/>
      <c r="J61" s="10"/>
      <c r="K61" s="11"/>
      <c r="L61" s="9"/>
      <c r="M61" s="11"/>
      <c r="N61" s="3"/>
      <c r="O61" s="3"/>
      <c r="P61" s="2"/>
      <c r="Q61" s="2"/>
    </row>
    <row r="62" spans="1:17">
      <c r="A62" s="3"/>
      <c r="B62" s="3"/>
      <c r="C62" s="3"/>
      <c r="D62" s="3"/>
      <c r="E62" s="3"/>
      <c r="F62" s="3"/>
      <c r="G62" s="3"/>
      <c r="H62" s="3"/>
      <c r="I62" s="3"/>
      <c r="J62" s="3"/>
      <c r="K62" s="9"/>
      <c r="L62" s="9"/>
      <c r="M62" s="9"/>
      <c r="N62" s="3"/>
      <c r="O62" s="3"/>
      <c r="P62" s="2"/>
      <c r="Q62" s="2"/>
    </row>
    <row r="63" spans="1:17">
      <c r="A63" s="39" t="s">
        <v>47</v>
      </c>
      <c r="B63" s="40" t="s">
        <v>226</v>
      </c>
      <c r="C63" s="40"/>
      <c r="D63" s="40" t="s">
        <v>150</v>
      </c>
      <c r="E63" s="40"/>
      <c r="F63" s="40" t="s">
        <v>226</v>
      </c>
      <c r="G63" s="40" t="s">
        <v>150</v>
      </c>
      <c r="H63" s="40"/>
      <c r="I63" s="40"/>
      <c r="J63" s="40"/>
      <c r="K63" s="40"/>
      <c r="L63" s="38">
        <f>4328+101</f>
        <v>4429</v>
      </c>
      <c r="M63" s="37" t="s">
        <v>227</v>
      </c>
      <c r="N63" s="9">
        <f>SUM(B63:L64)</f>
        <v>83331</v>
      </c>
      <c r="O63" s="3"/>
      <c r="P63" s="2"/>
      <c r="Q63" s="2"/>
    </row>
    <row r="64" spans="1:17">
      <c r="A64" s="36"/>
      <c r="B64" s="40">
        <v>67683</v>
      </c>
      <c r="C64" s="40"/>
      <c r="D64" s="40">
        <v>4983</v>
      </c>
      <c r="E64" s="40"/>
      <c r="F64" s="40">
        <v>5491</v>
      </c>
      <c r="G64" s="40">
        <v>745</v>
      </c>
      <c r="H64" s="40"/>
      <c r="I64" s="40"/>
      <c r="J64" s="40"/>
      <c r="K64" s="40"/>
      <c r="L64" s="38"/>
      <c r="M64" s="41"/>
      <c r="N64" s="3"/>
      <c r="O64" s="3"/>
      <c r="P64" s="2"/>
      <c r="Q64" s="2"/>
    </row>
    <row r="65" spans="1:17">
      <c r="A65" s="3"/>
      <c r="B65" s="3"/>
      <c r="C65" s="3"/>
      <c r="D65" s="3"/>
      <c r="E65" s="3"/>
      <c r="F65" s="3"/>
      <c r="G65" s="3"/>
      <c r="H65" s="3"/>
      <c r="I65" s="3"/>
      <c r="J65" s="3"/>
      <c r="K65" s="11"/>
      <c r="L65" s="9"/>
      <c r="M65" s="9"/>
      <c r="N65" s="3"/>
      <c r="O65" s="3"/>
      <c r="P65" s="2"/>
      <c r="Q65" s="2"/>
    </row>
    <row r="66" spans="1:17">
      <c r="A66" s="3" t="s">
        <v>49</v>
      </c>
      <c r="B66" s="10" t="s">
        <v>83</v>
      </c>
      <c r="C66" s="10"/>
      <c r="D66" s="10"/>
      <c r="E66" s="10" t="s">
        <v>168</v>
      </c>
      <c r="F66" s="10" t="s">
        <v>83</v>
      </c>
      <c r="G66" s="10"/>
      <c r="H66" s="10"/>
      <c r="I66" s="10"/>
      <c r="J66" s="10"/>
      <c r="K66" s="10"/>
      <c r="L66" s="9">
        <f>3815+132</f>
        <v>3947</v>
      </c>
      <c r="M66" s="8" t="s">
        <v>84</v>
      </c>
      <c r="N66" s="9">
        <f>SUM(B66:L67)</f>
        <v>101297</v>
      </c>
      <c r="O66" s="3"/>
      <c r="P66" s="2"/>
      <c r="Q66" s="2"/>
    </row>
    <row r="67" spans="1:17">
      <c r="A67" s="7"/>
      <c r="B67" s="10">
        <v>85830</v>
      </c>
      <c r="C67" s="10"/>
      <c r="D67" s="10"/>
      <c r="E67" s="10">
        <v>2893</v>
      </c>
      <c r="F67" s="10">
        <v>8627</v>
      </c>
      <c r="G67" s="10"/>
      <c r="H67" s="10"/>
      <c r="I67" s="10"/>
      <c r="J67" s="10"/>
      <c r="K67" s="10"/>
      <c r="L67" s="9"/>
      <c r="M67" s="11"/>
      <c r="N67" s="3"/>
      <c r="O67" s="3"/>
      <c r="P67" s="2"/>
      <c r="Q67" s="2"/>
    </row>
    <row r="68" spans="1:17">
      <c r="A68" s="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11"/>
      <c r="N68" s="3"/>
      <c r="O68" s="3"/>
      <c r="P68" s="2"/>
      <c r="Q68" s="2"/>
    </row>
    <row r="69" spans="1:17">
      <c r="A69" s="39" t="s">
        <v>52</v>
      </c>
      <c r="B69" s="37" t="s">
        <v>228</v>
      </c>
      <c r="C69" s="37" t="s">
        <v>85</v>
      </c>
      <c r="D69" s="37" t="s">
        <v>85</v>
      </c>
      <c r="E69" s="37" t="s">
        <v>85</v>
      </c>
      <c r="F69" s="37" t="s">
        <v>228</v>
      </c>
      <c r="G69" s="37"/>
      <c r="H69" s="37" t="s">
        <v>228</v>
      </c>
      <c r="I69" s="37"/>
      <c r="J69" s="37"/>
      <c r="K69" s="37"/>
      <c r="L69" s="38">
        <f>1635+61</f>
        <v>1696</v>
      </c>
      <c r="M69" s="40" t="s">
        <v>229</v>
      </c>
      <c r="N69" s="9">
        <f>SUM(B69:L70)</f>
        <v>67439</v>
      </c>
      <c r="O69" s="3"/>
      <c r="P69" s="2"/>
      <c r="Q69" s="2"/>
    </row>
    <row r="70" spans="1:17">
      <c r="A70" s="39"/>
      <c r="B70" s="40">
        <v>31736</v>
      </c>
      <c r="C70" s="40">
        <v>28453</v>
      </c>
      <c r="D70" s="40">
        <v>898</v>
      </c>
      <c r="E70" s="40">
        <v>2885</v>
      </c>
      <c r="F70" s="40">
        <v>1599</v>
      </c>
      <c r="G70" s="40"/>
      <c r="H70" s="40">
        <v>172</v>
      </c>
      <c r="I70" s="40"/>
      <c r="J70" s="40"/>
      <c r="K70" s="38"/>
      <c r="L70" s="38"/>
      <c r="M70" s="41"/>
      <c r="N70" s="3"/>
      <c r="O70" s="3"/>
      <c r="P70" s="2"/>
      <c r="Q70" s="2"/>
    </row>
    <row r="71" spans="1:17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9"/>
      <c r="M71" s="11"/>
      <c r="N71" s="3"/>
      <c r="O71" s="3"/>
      <c r="P71" s="2"/>
      <c r="Q71" s="2"/>
    </row>
    <row r="72" spans="1:17">
      <c r="A72" s="7" t="s">
        <v>54</v>
      </c>
      <c r="B72" s="8" t="s">
        <v>93</v>
      </c>
      <c r="C72" s="8" t="s">
        <v>230</v>
      </c>
      <c r="D72" s="8" t="s">
        <v>93</v>
      </c>
      <c r="E72" s="8" t="s">
        <v>230</v>
      </c>
      <c r="F72" s="8" t="s">
        <v>231</v>
      </c>
      <c r="G72" s="8" t="s">
        <v>93</v>
      </c>
      <c r="H72" s="8" t="s">
        <v>93</v>
      </c>
      <c r="I72" s="8"/>
      <c r="J72" s="8"/>
      <c r="K72" s="8"/>
      <c r="L72" s="9">
        <f>2475+75</f>
        <v>2550</v>
      </c>
      <c r="M72" s="8" t="s">
        <v>94</v>
      </c>
      <c r="N72" s="9">
        <f>SUM(B72:L73)</f>
        <v>67825</v>
      </c>
      <c r="O72" s="3"/>
      <c r="P72" s="2"/>
      <c r="Q72" s="2"/>
    </row>
    <row r="73" spans="1:17">
      <c r="A73" s="3"/>
      <c r="B73" s="10">
        <v>43429</v>
      </c>
      <c r="C73" s="10">
        <v>16861</v>
      </c>
      <c r="D73" s="10">
        <v>1019</v>
      </c>
      <c r="E73" s="10">
        <v>1223</v>
      </c>
      <c r="F73" s="10">
        <v>2196</v>
      </c>
      <c r="G73" s="10">
        <v>282</v>
      </c>
      <c r="H73" s="10">
        <v>265</v>
      </c>
      <c r="I73" s="10"/>
      <c r="J73" s="10"/>
      <c r="K73" s="9"/>
      <c r="L73" s="9"/>
      <c r="M73" s="9"/>
      <c r="N73" s="3"/>
      <c r="O73" s="3"/>
      <c r="P73" s="2"/>
      <c r="Q73" s="2"/>
    </row>
    <row r="74" spans="1:17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9"/>
      <c r="M74" s="11"/>
      <c r="N74" s="3"/>
      <c r="O74" s="3"/>
      <c r="P74" s="2"/>
      <c r="Q74" s="2"/>
    </row>
    <row r="75" spans="1:17">
      <c r="A75" s="36" t="s">
        <v>56</v>
      </c>
      <c r="B75" s="37"/>
      <c r="C75" s="37" t="s">
        <v>102</v>
      </c>
      <c r="D75" s="37" t="s">
        <v>102</v>
      </c>
      <c r="E75" s="37" t="s">
        <v>102</v>
      </c>
      <c r="F75" s="37"/>
      <c r="G75" s="37"/>
      <c r="H75" s="37" t="s">
        <v>102</v>
      </c>
      <c r="I75" s="37"/>
      <c r="J75" s="37"/>
      <c r="K75" s="37"/>
      <c r="L75" s="38">
        <f>20817+1183</f>
        <v>22000</v>
      </c>
      <c r="M75" s="37" t="s">
        <v>103</v>
      </c>
      <c r="N75" s="9">
        <f>SUM(B75:L76)</f>
        <v>102153</v>
      </c>
      <c r="O75" s="3"/>
      <c r="P75" s="2"/>
      <c r="Q75" s="2"/>
    </row>
    <row r="76" spans="1:17">
      <c r="A76" s="39"/>
      <c r="B76" s="40"/>
      <c r="C76" s="40">
        <v>65185</v>
      </c>
      <c r="D76" s="40">
        <v>6238</v>
      </c>
      <c r="E76" s="40">
        <v>6561</v>
      </c>
      <c r="F76" s="40"/>
      <c r="G76" s="40"/>
      <c r="H76" s="40">
        <v>2169</v>
      </c>
      <c r="I76" s="40"/>
      <c r="J76" s="40"/>
      <c r="K76" s="38"/>
      <c r="L76" s="38"/>
      <c r="M76" s="38"/>
      <c r="N76" s="3"/>
      <c r="O76" s="3"/>
      <c r="P76" s="2"/>
      <c r="Q76" s="2"/>
    </row>
    <row r="77" spans="1:17">
      <c r="A77" s="19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1"/>
      <c r="M77" s="22"/>
      <c r="N77" s="3"/>
      <c r="O77" s="3"/>
      <c r="P77" s="2"/>
      <c r="Q77" s="2"/>
    </row>
    <row r="78" spans="1:17">
      <c r="A78" s="7" t="s">
        <v>58</v>
      </c>
      <c r="B78" s="8" t="s">
        <v>121</v>
      </c>
      <c r="C78" s="8"/>
      <c r="D78" s="8"/>
      <c r="E78" s="8"/>
      <c r="F78" s="8" t="s">
        <v>121</v>
      </c>
      <c r="G78" s="8"/>
      <c r="H78" s="8"/>
      <c r="I78" s="8"/>
      <c r="J78" s="8"/>
      <c r="K78" s="8"/>
      <c r="L78" s="9">
        <f>5589+343</f>
        <v>5932</v>
      </c>
      <c r="M78" s="8" t="s">
        <v>42</v>
      </c>
      <c r="N78" s="9">
        <f>SUM(B78:L79)</f>
        <v>116107</v>
      </c>
      <c r="O78" s="3"/>
      <c r="P78" s="2"/>
      <c r="Q78" s="2"/>
    </row>
    <row r="79" spans="1:17">
      <c r="A79" s="3"/>
      <c r="B79" s="10">
        <v>99071</v>
      </c>
      <c r="C79" s="10"/>
      <c r="D79" s="10"/>
      <c r="E79" s="10"/>
      <c r="F79" s="10">
        <v>11104</v>
      </c>
      <c r="G79" s="10"/>
      <c r="H79" s="10"/>
      <c r="I79" s="10"/>
      <c r="J79" s="10"/>
      <c r="K79" s="9"/>
      <c r="L79" s="17"/>
      <c r="M79" s="9"/>
      <c r="N79" s="3"/>
      <c r="O79" s="3"/>
      <c r="P79" s="2"/>
      <c r="Q79" s="2"/>
    </row>
    <row r="80" spans="1:17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15"/>
      <c r="M80" s="3"/>
      <c r="N80" s="3"/>
      <c r="O80" s="3"/>
      <c r="P80" s="2"/>
      <c r="Q80" s="2"/>
    </row>
    <row r="81" spans="1:17">
      <c r="A81" s="36" t="s">
        <v>59</v>
      </c>
      <c r="B81" s="37" t="s">
        <v>232</v>
      </c>
      <c r="C81" s="37" t="s">
        <v>233</v>
      </c>
      <c r="D81" s="37"/>
      <c r="E81" s="37" t="s">
        <v>234</v>
      </c>
      <c r="F81" s="37" t="s">
        <v>232</v>
      </c>
      <c r="G81" s="37"/>
      <c r="H81" s="37" t="s">
        <v>233</v>
      </c>
      <c r="I81" s="37"/>
      <c r="J81" s="37"/>
      <c r="K81" s="37"/>
      <c r="L81" s="38">
        <f>4069+139</f>
        <v>4208</v>
      </c>
      <c r="M81" s="37" t="s">
        <v>235</v>
      </c>
      <c r="N81" s="9">
        <f>SUM(B81:L82)</f>
        <v>95379</v>
      </c>
      <c r="O81" s="3"/>
      <c r="P81" s="2"/>
      <c r="Q81" s="2"/>
    </row>
    <row r="82" spans="1:17">
      <c r="A82" s="39"/>
      <c r="B82" s="40">
        <v>73740</v>
      </c>
      <c r="C82" s="40">
        <v>9615</v>
      </c>
      <c r="D82" s="38"/>
      <c r="E82" s="43">
        <v>913</v>
      </c>
      <c r="F82" s="43">
        <v>6373</v>
      </c>
      <c r="G82" s="43"/>
      <c r="H82" s="43">
        <v>530</v>
      </c>
      <c r="I82" s="43"/>
      <c r="J82" s="43"/>
      <c r="K82" s="43"/>
      <c r="L82" s="43"/>
      <c r="M82" s="43"/>
      <c r="N82" s="24"/>
      <c r="O82" s="3"/>
      <c r="P82" s="2"/>
      <c r="Q82" s="2"/>
    </row>
    <row r="83" spans="1:17">
      <c r="A83" s="3"/>
      <c r="B83" s="10"/>
      <c r="C83" s="10"/>
      <c r="D83" s="9"/>
      <c r="E83" s="23"/>
      <c r="F83" s="23"/>
      <c r="G83" s="23"/>
      <c r="H83" s="23"/>
      <c r="I83" s="23"/>
      <c r="J83" s="23"/>
      <c r="K83" s="23"/>
      <c r="L83" s="23"/>
      <c r="M83" s="23"/>
      <c r="N83" s="24"/>
      <c r="O83" s="3"/>
      <c r="P83" s="2"/>
      <c r="Q83" s="2"/>
    </row>
    <row r="84" spans="1:17">
      <c r="A84" s="7" t="s">
        <v>63</v>
      </c>
      <c r="B84" s="8" t="s">
        <v>141</v>
      </c>
      <c r="C84" s="8"/>
      <c r="D84" s="8"/>
      <c r="E84" s="8"/>
      <c r="F84" s="8" t="s">
        <v>141</v>
      </c>
      <c r="G84" s="8"/>
      <c r="H84" s="8"/>
      <c r="I84" s="8"/>
      <c r="J84" s="8"/>
      <c r="K84" s="8"/>
      <c r="L84" s="17">
        <f>11376+887</f>
        <v>12263</v>
      </c>
      <c r="M84" s="8" t="s">
        <v>142</v>
      </c>
      <c r="N84" s="9">
        <f>SUM(B84:L85)</f>
        <v>119496</v>
      </c>
      <c r="O84" s="3"/>
      <c r="P84" s="2"/>
      <c r="Q84" s="2"/>
    </row>
    <row r="85" spans="1:17">
      <c r="A85" s="3"/>
      <c r="B85" s="10">
        <v>99229</v>
      </c>
      <c r="C85" s="9"/>
      <c r="D85" s="9"/>
      <c r="E85" s="9"/>
      <c r="F85" s="9">
        <v>8004</v>
      </c>
      <c r="G85" s="9"/>
      <c r="H85" s="9"/>
      <c r="I85" s="9"/>
      <c r="J85" s="9"/>
      <c r="K85" s="11"/>
      <c r="L85" s="17"/>
      <c r="M85" s="9"/>
      <c r="N85" s="3"/>
      <c r="O85" s="3"/>
      <c r="P85" s="2"/>
      <c r="Q85" s="2"/>
    </row>
    <row r="86" spans="1:17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17"/>
      <c r="M86" s="11"/>
      <c r="N86" s="3"/>
      <c r="O86" s="3"/>
    </row>
    <row r="87" spans="1:17">
      <c r="A87" s="36" t="s">
        <v>65</v>
      </c>
      <c r="B87" s="37" t="s">
        <v>78</v>
      </c>
      <c r="C87" s="37" t="s">
        <v>236</v>
      </c>
      <c r="D87" s="37" t="s">
        <v>236</v>
      </c>
      <c r="E87" s="37"/>
      <c r="F87" s="37" t="s">
        <v>78</v>
      </c>
      <c r="G87" s="37"/>
      <c r="H87" s="37" t="s">
        <v>236</v>
      </c>
      <c r="I87" s="37"/>
      <c r="J87" s="37"/>
      <c r="K87" s="40" t="s">
        <v>237</v>
      </c>
      <c r="L87" s="38">
        <f>2689+57</f>
        <v>2746</v>
      </c>
      <c r="M87" s="37" t="s">
        <v>79</v>
      </c>
      <c r="N87" s="9">
        <f>SUM(B87:L88)</f>
        <v>116789</v>
      </c>
      <c r="O87" s="3"/>
    </row>
    <row r="88" spans="1:17">
      <c r="A88" s="39"/>
      <c r="B88" s="40">
        <v>90487</v>
      </c>
      <c r="C88" s="38">
        <v>19551</v>
      </c>
      <c r="D88" s="40">
        <v>703</v>
      </c>
      <c r="E88" s="40"/>
      <c r="F88" s="40">
        <v>2793</v>
      </c>
      <c r="G88" s="40"/>
      <c r="H88" s="40">
        <v>94</v>
      </c>
      <c r="I88" s="40"/>
      <c r="J88" s="40"/>
      <c r="K88" s="40">
        <v>415</v>
      </c>
      <c r="L88" s="38"/>
      <c r="M88" s="38"/>
      <c r="N88" s="3"/>
      <c r="O88" s="3"/>
    </row>
    <row r="89" spans="1:17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17"/>
      <c r="M89" s="11"/>
      <c r="N89" s="3"/>
      <c r="O89" s="3"/>
    </row>
    <row r="90" spans="1:17">
      <c r="A90" s="3" t="s">
        <v>67</v>
      </c>
      <c r="B90" s="10" t="s">
        <v>95</v>
      </c>
      <c r="C90" s="10" t="s">
        <v>169</v>
      </c>
      <c r="D90" s="10"/>
      <c r="E90" s="10"/>
      <c r="F90" s="10"/>
      <c r="G90" s="10"/>
      <c r="H90" s="10"/>
      <c r="I90" s="10"/>
      <c r="J90" s="10"/>
      <c r="K90" s="10"/>
      <c r="L90" s="17">
        <f>3674+78</f>
        <v>3752</v>
      </c>
      <c r="M90" s="8" t="s">
        <v>109</v>
      </c>
      <c r="N90" s="9">
        <f>SUM(B90:L91)</f>
        <v>77670</v>
      </c>
      <c r="O90" s="3"/>
    </row>
    <row r="91" spans="1:17">
      <c r="A91" s="3"/>
      <c r="B91" s="10">
        <v>68681</v>
      </c>
      <c r="C91" s="9">
        <v>5237</v>
      </c>
      <c r="D91" s="9"/>
      <c r="E91" s="9"/>
      <c r="F91" s="9"/>
      <c r="G91" s="9"/>
      <c r="H91" s="9"/>
      <c r="I91" s="9"/>
      <c r="J91" s="9"/>
      <c r="K91" s="9"/>
      <c r="L91" s="17"/>
      <c r="M91" s="9"/>
      <c r="N91" s="3"/>
      <c r="O91" s="3"/>
    </row>
    <row r="92" spans="1:17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17"/>
      <c r="M92" s="9"/>
      <c r="N92" s="3"/>
      <c r="O92" s="3"/>
    </row>
    <row r="93" spans="1:17">
      <c r="A93" s="39" t="s">
        <v>68</v>
      </c>
      <c r="B93" s="40" t="s">
        <v>238</v>
      </c>
      <c r="C93" s="40"/>
      <c r="D93" s="40"/>
      <c r="E93" s="40"/>
      <c r="F93" s="40" t="s">
        <v>238</v>
      </c>
      <c r="G93" s="40"/>
      <c r="H93" s="40"/>
      <c r="I93" s="40"/>
      <c r="J93" s="40"/>
      <c r="K93" s="40"/>
      <c r="L93" s="38">
        <f>8071+368</f>
        <v>8439</v>
      </c>
      <c r="M93" s="40" t="s">
        <v>239</v>
      </c>
      <c r="N93" s="9">
        <f>SUM(B93:L94)</f>
        <v>104967</v>
      </c>
      <c r="O93" s="3"/>
    </row>
    <row r="94" spans="1:17">
      <c r="A94" s="39"/>
      <c r="B94" s="40">
        <v>90746</v>
      </c>
      <c r="C94" s="38"/>
      <c r="D94" s="40"/>
      <c r="E94" s="40"/>
      <c r="F94" s="40">
        <v>5782</v>
      </c>
      <c r="G94" s="40"/>
      <c r="H94" s="40"/>
      <c r="I94" s="40"/>
      <c r="J94" s="40"/>
      <c r="K94" s="38"/>
      <c r="L94" s="38"/>
      <c r="M94" s="38"/>
      <c r="N94" s="3"/>
      <c r="O94" s="3"/>
    </row>
    <row r="95" spans="1:17">
      <c r="A95" s="3"/>
      <c r="B95" s="3"/>
      <c r="C95" s="3"/>
      <c r="D95" s="3"/>
      <c r="E95" s="3"/>
      <c r="F95" s="3"/>
      <c r="G95" s="3"/>
      <c r="H95" s="3"/>
      <c r="I95" s="3"/>
      <c r="J95" s="3"/>
      <c r="K95" s="11"/>
      <c r="L95" s="17"/>
      <c r="M95" s="9"/>
      <c r="N95" s="3"/>
      <c r="O95" s="3"/>
    </row>
    <row r="96" spans="1:17">
      <c r="A96" s="3" t="s">
        <v>69</v>
      </c>
      <c r="B96" s="10" t="s">
        <v>240</v>
      </c>
      <c r="C96" s="10" t="s">
        <v>171</v>
      </c>
      <c r="D96" s="10" t="s">
        <v>170</v>
      </c>
      <c r="E96" s="10"/>
      <c r="F96" s="10" t="s">
        <v>240</v>
      </c>
      <c r="G96" s="10"/>
      <c r="H96" s="10" t="s">
        <v>171</v>
      </c>
      <c r="I96" s="10"/>
      <c r="J96" s="10"/>
      <c r="K96" s="10"/>
      <c r="L96" s="17">
        <f>3458+85</f>
        <v>3543</v>
      </c>
      <c r="M96" s="10" t="s">
        <v>241</v>
      </c>
      <c r="N96" s="9">
        <f>SUM(B96:L97)</f>
        <v>101404</v>
      </c>
      <c r="O96" s="3"/>
    </row>
    <row r="97" spans="1:15">
      <c r="A97" s="3"/>
      <c r="B97" s="10">
        <v>81821</v>
      </c>
      <c r="C97" s="10">
        <v>6067</v>
      </c>
      <c r="D97" s="10">
        <v>4660</v>
      </c>
      <c r="E97" s="10"/>
      <c r="F97" s="10">
        <v>5145</v>
      </c>
      <c r="G97" s="10"/>
      <c r="H97" s="10">
        <v>168</v>
      </c>
      <c r="I97" s="10"/>
      <c r="J97" s="10"/>
      <c r="K97" s="9"/>
      <c r="L97" s="17"/>
      <c r="M97" s="9"/>
      <c r="N97" s="3"/>
      <c r="O97" s="3"/>
    </row>
    <row r="98" spans="1:15">
      <c r="A98" s="3"/>
      <c r="B98" s="3"/>
      <c r="C98" s="3"/>
      <c r="D98" s="3"/>
      <c r="E98" s="3"/>
      <c r="F98" s="3"/>
      <c r="G98" s="3"/>
      <c r="H98" s="3"/>
      <c r="I98" s="3"/>
      <c r="J98" s="3"/>
      <c r="K98" s="9"/>
      <c r="L98" s="17"/>
      <c r="M98" s="9"/>
      <c r="N98" s="3"/>
      <c r="O98" s="3"/>
    </row>
    <row r="99" spans="1:15">
      <c r="A99" s="39" t="s">
        <v>70</v>
      </c>
      <c r="B99" s="40" t="s">
        <v>242</v>
      </c>
      <c r="C99" s="40" t="s">
        <v>243</v>
      </c>
      <c r="D99" s="40"/>
      <c r="E99" s="40" t="s">
        <v>172</v>
      </c>
      <c r="F99" s="40" t="s">
        <v>242</v>
      </c>
      <c r="G99" s="40"/>
      <c r="H99" s="40" t="s">
        <v>244</v>
      </c>
      <c r="I99" s="40"/>
      <c r="J99" s="40"/>
      <c r="K99" s="40"/>
      <c r="L99" s="38">
        <f>3049+30</f>
        <v>3079</v>
      </c>
      <c r="M99" s="40" t="s">
        <v>245</v>
      </c>
      <c r="N99" s="9">
        <f>SUM(B99:L100)</f>
        <v>65392</v>
      </c>
      <c r="O99" s="3"/>
    </row>
    <row r="100" spans="1:15">
      <c r="A100" s="39"/>
      <c r="B100" s="40">
        <v>58019</v>
      </c>
      <c r="C100" s="40">
        <v>2183</v>
      </c>
      <c r="D100" s="40"/>
      <c r="E100" s="40">
        <v>415</v>
      </c>
      <c r="F100" s="40">
        <v>1130</v>
      </c>
      <c r="G100" s="40"/>
      <c r="H100" s="40">
        <v>566</v>
      </c>
      <c r="I100" s="40"/>
      <c r="J100" s="40"/>
      <c r="K100" s="38"/>
      <c r="L100" s="38"/>
      <c r="M100" s="38"/>
      <c r="N100" s="3"/>
      <c r="O100" s="3"/>
    </row>
    <row r="101" spans="1: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17"/>
      <c r="M101" s="9"/>
      <c r="N101" s="3"/>
      <c r="O101" s="3"/>
    </row>
    <row r="102" spans="1:15">
      <c r="A102" s="3" t="s">
        <v>71</v>
      </c>
      <c r="B102" s="10" t="s">
        <v>122</v>
      </c>
      <c r="C102" s="10" t="s">
        <v>246</v>
      </c>
      <c r="D102" s="10"/>
      <c r="E102" s="10" t="s">
        <v>151</v>
      </c>
      <c r="F102" s="10" t="s">
        <v>122</v>
      </c>
      <c r="G102" s="10"/>
      <c r="H102" s="10"/>
      <c r="I102" s="10"/>
      <c r="J102" s="10"/>
      <c r="K102" s="10"/>
      <c r="L102" s="17">
        <f>2379+23</f>
        <v>2402</v>
      </c>
      <c r="M102" s="10" t="s">
        <v>123</v>
      </c>
      <c r="N102" s="9">
        <f>SUM(B102:L103)</f>
        <v>51336</v>
      </c>
      <c r="O102" s="3"/>
    </row>
    <row r="103" spans="1:15">
      <c r="A103" s="3"/>
      <c r="B103" s="10">
        <v>45627</v>
      </c>
      <c r="C103" s="10">
        <v>2099</v>
      </c>
      <c r="D103" s="10"/>
      <c r="E103" s="10">
        <v>302</v>
      </c>
      <c r="F103" s="10">
        <v>906</v>
      </c>
      <c r="G103" s="10"/>
      <c r="H103" s="10"/>
      <c r="I103" s="10"/>
      <c r="J103" s="10"/>
      <c r="K103" s="9"/>
      <c r="L103" s="17"/>
      <c r="M103" s="9"/>
      <c r="N103" s="3"/>
      <c r="O103" s="3"/>
    </row>
    <row r="104" spans="1: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15"/>
      <c r="M104" s="3"/>
      <c r="N104" s="3"/>
      <c r="O104" s="3"/>
    </row>
    <row r="105" spans="1:15">
      <c r="A105" s="44" t="s">
        <v>5</v>
      </c>
      <c r="B105" s="37" t="s">
        <v>247</v>
      </c>
      <c r="C105" s="37" t="s">
        <v>248</v>
      </c>
      <c r="D105" s="37" t="s">
        <v>96</v>
      </c>
      <c r="E105" s="37" t="s">
        <v>249</v>
      </c>
      <c r="F105" s="37" t="s">
        <v>247</v>
      </c>
      <c r="G105" s="37"/>
      <c r="H105" s="37"/>
      <c r="I105" s="37"/>
      <c r="J105" s="37"/>
      <c r="K105" s="37"/>
      <c r="L105" s="38">
        <f>2914+42</f>
        <v>2956</v>
      </c>
      <c r="M105" s="37" t="s">
        <v>250</v>
      </c>
      <c r="N105" s="9">
        <f>SUM(B105:L106)</f>
        <v>82579</v>
      </c>
      <c r="O105" s="3"/>
    </row>
    <row r="106" spans="1:15">
      <c r="A106" s="38"/>
      <c r="B106" s="38">
        <v>58112</v>
      </c>
      <c r="C106" s="40">
        <v>11875</v>
      </c>
      <c r="D106" s="40">
        <v>5736</v>
      </c>
      <c r="E106" s="40">
        <v>1430</v>
      </c>
      <c r="F106" s="40">
        <v>2470</v>
      </c>
      <c r="G106" s="40"/>
      <c r="H106" s="40"/>
      <c r="I106" s="40"/>
      <c r="J106" s="40"/>
      <c r="K106" s="40"/>
      <c r="L106" s="38"/>
      <c r="M106" s="41"/>
      <c r="N106" s="3"/>
      <c r="O106" s="3"/>
    </row>
    <row r="107" spans="1:15">
      <c r="A107" s="9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17"/>
      <c r="M107" s="9"/>
      <c r="N107" s="3"/>
      <c r="O107" s="3"/>
    </row>
    <row r="108" spans="1:15">
      <c r="A108" s="25" t="s">
        <v>104</v>
      </c>
      <c r="B108" s="8" t="s">
        <v>97</v>
      </c>
      <c r="C108" s="8"/>
      <c r="D108" s="8" t="s">
        <v>97</v>
      </c>
      <c r="E108" s="8"/>
      <c r="F108" s="8" t="s">
        <v>97</v>
      </c>
      <c r="G108" s="8" t="s">
        <v>97</v>
      </c>
      <c r="H108" s="8" t="s">
        <v>97</v>
      </c>
      <c r="I108" s="8"/>
      <c r="J108" s="8"/>
      <c r="K108" s="8"/>
      <c r="L108" s="14">
        <f>18034+475</f>
        <v>18509</v>
      </c>
      <c r="M108" s="8" t="s">
        <v>105</v>
      </c>
      <c r="N108" s="9">
        <f>SUM(B108:L109)</f>
        <v>98583</v>
      </c>
      <c r="O108" s="3"/>
    </row>
    <row r="109" spans="1:15">
      <c r="A109" s="9"/>
      <c r="B109" s="17">
        <v>74393</v>
      </c>
      <c r="C109" s="14"/>
      <c r="D109" s="14">
        <v>1594</v>
      </c>
      <c r="E109" s="14"/>
      <c r="F109" s="14">
        <v>2630</v>
      </c>
      <c r="G109" s="14">
        <v>885</v>
      </c>
      <c r="H109" s="14">
        <v>572</v>
      </c>
      <c r="I109" s="14"/>
      <c r="J109" s="14"/>
      <c r="K109" s="14"/>
      <c r="L109" s="17"/>
      <c r="M109" s="11"/>
      <c r="N109" s="3"/>
      <c r="O109" s="3"/>
    </row>
    <row r="110" spans="1:15">
      <c r="A110" s="9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17"/>
      <c r="M110" s="9"/>
      <c r="N110" s="3"/>
      <c r="O110" s="3"/>
    </row>
    <row r="111" spans="1:15">
      <c r="A111" s="41" t="s">
        <v>8</v>
      </c>
      <c r="B111" s="37" t="s">
        <v>173</v>
      </c>
      <c r="C111" s="37"/>
      <c r="D111" s="37"/>
      <c r="E111" s="37" t="s">
        <v>124</v>
      </c>
      <c r="F111" s="37" t="s">
        <v>173</v>
      </c>
      <c r="G111" s="37"/>
      <c r="H111" s="37"/>
      <c r="I111" s="37"/>
      <c r="J111" s="37"/>
      <c r="K111" s="37"/>
      <c r="L111" s="38">
        <f>4967+23</f>
        <v>4990</v>
      </c>
      <c r="M111" s="37" t="s">
        <v>174</v>
      </c>
      <c r="N111" s="9">
        <f>SUM(B111:L112)</f>
        <v>81383</v>
      </c>
      <c r="O111" s="3"/>
    </row>
    <row r="112" spans="1:15">
      <c r="A112" s="38"/>
      <c r="B112" s="38">
        <v>73189</v>
      </c>
      <c r="C112" s="38"/>
      <c r="D112" s="38"/>
      <c r="E112" s="38">
        <v>1688</v>
      </c>
      <c r="F112" s="38">
        <v>1516</v>
      </c>
      <c r="G112" s="38"/>
      <c r="H112" s="38"/>
      <c r="I112" s="38"/>
      <c r="J112" s="38"/>
      <c r="K112" s="38"/>
      <c r="L112" s="38"/>
      <c r="M112" s="41"/>
      <c r="N112" s="3"/>
      <c r="O112" s="3"/>
    </row>
    <row r="113" spans="1:15">
      <c r="A113" s="9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15"/>
      <c r="M113" s="9"/>
      <c r="N113" s="3"/>
      <c r="O113" s="3"/>
    </row>
    <row r="114" spans="1:15">
      <c r="A114" s="11" t="s">
        <v>10</v>
      </c>
      <c r="B114" s="8" t="s">
        <v>251</v>
      </c>
      <c r="C114" s="8"/>
      <c r="D114" s="8" t="s">
        <v>251</v>
      </c>
      <c r="E114" s="8"/>
      <c r="F114" s="8" t="s">
        <v>251</v>
      </c>
      <c r="G114" s="8" t="s">
        <v>251</v>
      </c>
      <c r="H114" s="8"/>
      <c r="I114" s="8"/>
      <c r="J114" s="8"/>
      <c r="K114" s="8"/>
      <c r="L114" s="14">
        <f>34981+682</f>
        <v>35663</v>
      </c>
      <c r="M114" s="8" t="s">
        <v>252</v>
      </c>
      <c r="N114" s="9">
        <f>SUM(B114:L115)</f>
        <v>113845</v>
      </c>
      <c r="O114" s="3"/>
    </row>
    <row r="115" spans="1:15">
      <c r="A115" s="9"/>
      <c r="B115" s="10">
        <v>70011</v>
      </c>
      <c r="C115" s="9"/>
      <c r="D115" s="9">
        <v>1516</v>
      </c>
      <c r="E115" s="9"/>
      <c r="F115" s="9">
        <v>1688</v>
      </c>
      <c r="G115" s="9">
        <v>4967</v>
      </c>
      <c r="H115" s="9"/>
      <c r="I115" s="9"/>
      <c r="J115" s="9"/>
      <c r="K115" s="9"/>
      <c r="L115" s="17"/>
      <c r="M115" s="11"/>
      <c r="N115" s="3"/>
      <c r="O115" s="3"/>
    </row>
    <row r="116" spans="1:1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17"/>
      <c r="M116" s="9"/>
      <c r="N116" s="3"/>
      <c r="O116" s="3"/>
    </row>
    <row r="117" spans="1:15">
      <c r="A117" s="41" t="s">
        <v>14</v>
      </c>
      <c r="B117" s="37" t="s">
        <v>125</v>
      </c>
      <c r="C117" s="37" t="s">
        <v>253</v>
      </c>
      <c r="D117" s="37"/>
      <c r="E117" s="37" t="s">
        <v>253</v>
      </c>
      <c r="F117" s="45"/>
      <c r="G117" s="37" t="s">
        <v>125</v>
      </c>
      <c r="H117" s="37" t="s">
        <v>253</v>
      </c>
      <c r="I117" s="37"/>
      <c r="J117" s="37"/>
      <c r="K117" s="37"/>
      <c r="L117" s="38">
        <f>3480+97+125</f>
        <v>3702</v>
      </c>
      <c r="M117" s="37" t="s">
        <v>143</v>
      </c>
      <c r="N117" s="9">
        <f>SUM(B117:L118)</f>
        <v>73773</v>
      </c>
      <c r="O117" s="3"/>
    </row>
    <row r="118" spans="1:15">
      <c r="A118" s="38"/>
      <c r="B118" s="38">
        <v>60990</v>
      </c>
      <c r="C118" s="38">
        <v>723</v>
      </c>
      <c r="D118" s="38"/>
      <c r="E118" s="38">
        <v>4242</v>
      </c>
      <c r="F118" s="38"/>
      <c r="G118" s="38">
        <v>2019</v>
      </c>
      <c r="H118" s="38">
        <v>2097</v>
      </c>
      <c r="I118" s="38"/>
      <c r="J118" s="38"/>
      <c r="K118" s="38"/>
      <c r="L118" s="38"/>
      <c r="M118" s="41"/>
      <c r="N118" s="3"/>
      <c r="O118" s="3"/>
    </row>
    <row r="119" spans="1:15">
      <c r="A119" s="9"/>
      <c r="B119" s="3"/>
      <c r="C119" s="3"/>
      <c r="D119" s="3"/>
      <c r="E119" s="3"/>
      <c r="F119" s="3"/>
      <c r="G119" s="3"/>
      <c r="H119" s="3"/>
      <c r="I119" s="3"/>
      <c r="J119" s="3"/>
      <c r="K119" s="9"/>
      <c r="L119" s="17"/>
      <c r="M119" s="9"/>
      <c r="N119" s="3"/>
      <c r="O119" s="3"/>
    </row>
    <row r="120" spans="1:15">
      <c r="A120" s="11" t="s">
        <v>17</v>
      </c>
      <c r="B120" s="8" t="s">
        <v>254</v>
      </c>
      <c r="C120" s="8" t="s">
        <v>255</v>
      </c>
      <c r="D120" s="8" t="s">
        <v>255</v>
      </c>
      <c r="E120" s="8" t="s">
        <v>255</v>
      </c>
      <c r="F120" s="8" t="s">
        <v>254</v>
      </c>
      <c r="G120" s="8" t="s">
        <v>254</v>
      </c>
      <c r="H120" s="8" t="s">
        <v>254</v>
      </c>
      <c r="I120" s="8"/>
      <c r="J120" s="8"/>
      <c r="K120" s="8"/>
      <c r="L120" s="17">
        <f>3016+24+36</f>
        <v>3076</v>
      </c>
      <c r="M120" s="8" t="s">
        <v>256</v>
      </c>
      <c r="N120" s="9">
        <f>SUM(B120:L121)</f>
        <v>94053</v>
      </c>
      <c r="O120" s="3"/>
    </row>
    <row r="121" spans="1:15">
      <c r="A121" s="9"/>
      <c r="B121" s="9">
        <v>48267</v>
      </c>
      <c r="C121" s="9">
        <v>34195</v>
      </c>
      <c r="D121" s="9">
        <v>154</v>
      </c>
      <c r="E121" s="9">
        <v>5080</v>
      </c>
      <c r="F121" s="9">
        <v>1862</v>
      </c>
      <c r="G121" s="9">
        <v>707</v>
      </c>
      <c r="H121" s="9">
        <v>712</v>
      </c>
      <c r="I121" s="9"/>
      <c r="J121" s="9"/>
      <c r="K121" s="11"/>
      <c r="L121" s="17"/>
      <c r="M121" s="11"/>
      <c r="N121" s="3"/>
      <c r="O121" s="3"/>
    </row>
    <row r="122" spans="1:15">
      <c r="A122" s="9"/>
      <c r="B122" s="3"/>
      <c r="C122" s="3"/>
      <c r="D122" s="3"/>
      <c r="E122" s="3"/>
      <c r="F122" s="3"/>
      <c r="G122" s="3"/>
      <c r="H122" s="3"/>
      <c r="I122" s="3"/>
      <c r="J122" s="3"/>
      <c r="K122" s="9"/>
      <c r="L122" s="17"/>
      <c r="M122" s="9"/>
      <c r="N122" s="3"/>
      <c r="O122" s="3"/>
    </row>
    <row r="123" spans="1:15">
      <c r="A123" s="41" t="s">
        <v>19</v>
      </c>
      <c r="B123" s="37" t="s">
        <v>257</v>
      </c>
      <c r="C123" s="37" t="s">
        <v>152</v>
      </c>
      <c r="D123" s="37" t="s">
        <v>152</v>
      </c>
      <c r="E123" s="37" t="s">
        <v>152</v>
      </c>
      <c r="F123" s="37" t="s">
        <v>257</v>
      </c>
      <c r="G123" s="37" t="s">
        <v>257</v>
      </c>
      <c r="H123" s="37" t="s">
        <v>152</v>
      </c>
      <c r="I123" s="37"/>
      <c r="J123" s="37"/>
      <c r="K123" s="37"/>
      <c r="L123" s="40">
        <f>3017+4+42</f>
        <v>3063</v>
      </c>
      <c r="M123" s="37" t="s">
        <v>258</v>
      </c>
      <c r="N123" s="9">
        <f>SUM(B123:L124)</f>
        <v>123539</v>
      </c>
      <c r="O123" s="3"/>
    </row>
    <row r="124" spans="1:15">
      <c r="A124" s="38"/>
      <c r="B124" s="38">
        <v>59560</v>
      </c>
      <c r="C124" s="38">
        <v>49730</v>
      </c>
      <c r="D124" s="38">
        <v>1681</v>
      </c>
      <c r="E124" s="38">
        <v>6550</v>
      </c>
      <c r="F124" s="38">
        <v>1777</v>
      </c>
      <c r="G124" s="38">
        <v>818</v>
      </c>
      <c r="H124" s="38">
        <v>360</v>
      </c>
      <c r="I124" s="38"/>
      <c r="J124" s="38"/>
      <c r="K124" s="41"/>
      <c r="L124" s="38"/>
      <c r="M124" s="41"/>
      <c r="N124" s="3"/>
      <c r="O124" s="3"/>
    </row>
    <row r="125" spans="1:15">
      <c r="A125" s="9"/>
      <c r="B125" s="3"/>
      <c r="C125" s="3"/>
      <c r="D125" s="3"/>
      <c r="E125" s="3"/>
      <c r="F125" s="3"/>
      <c r="G125" s="3"/>
      <c r="H125" s="3"/>
      <c r="I125" s="3"/>
      <c r="J125" s="3"/>
      <c r="K125" s="9"/>
      <c r="L125" s="9"/>
      <c r="M125" s="9"/>
      <c r="N125" s="3"/>
      <c r="O125" s="3"/>
    </row>
    <row r="126" spans="1:15">
      <c r="A126" s="11" t="s">
        <v>20</v>
      </c>
      <c r="B126" s="8" t="s">
        <v>259</v>
      </c>
      <c r="C126" s="8" t="s">
        <v>153</v>
      </c>
      <c r="D126" s="8" t="s">
        <v>153</v>
      </c>
      <c r="E126" s="8" t="s">
        <v>153</v>
      </c>
      <c r="F126" s="8" t="s">
        <v>259</v>
      </c>
      <c r="G126" s="8" t="s">
        <v>259</v>
      </c>
      <c r="H126" s="8" t="s">
        <v>153</v>
      </c>
      <c r="I126" s="8"/>
      <c r="J126" s="8"/>
      <c r="K126" s="8"/>
      <c r="L126" s="10">
        <f>2488+51+31</f>
        <v>2570</v>
      </c>
      <c r="M126" s="8" t="s">
        <v>154</v>
      </c>
      <c r="N126" s="9">
        <f>SUM(B126:L127)</f>
        <v>120750</v>
      </c>
      <c r="O126" s="3"/>
    </row>
    <row r="127" spans="1:15">
      <c r="A127" s="9"/>
      <c r="B127" s="9">
        <v>55582</v>
      </c>
      <c r="C127" s="9">
        <v>49685</v>
      </c>
      <c r="D127" s="9">
        <v>1698</v>
      </c>
      <c r="E127" s="9">
        <v>7683</v>
      </c>
      <c r="F127" s="9">
        <v>2274</v>
      </c>
      <c r="G127" s="9">
        <v>890</v>
      </c>
      <c r="H127" s="9">
        <v>368</v>
      </c>
      <c r="I127" s="9"/>
      <c r="J127" s="9"/>
      <c r="K127" s="9"/>
      <c r="L127" s="9"/>
      <c r="M127" s="11"/>
      <c r="N127" s="3"/>
      <c r="O127" s="3"/>
    </row>
    <row r="128" spans="1:15">
      <c r="A128" s="9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9"/>
      <c r="M128" s="9"/>
      <c r="N128" s="3"/>
      <c r="O128" s="3"/>
    </row>
    <row r="129" spans="1:15">
      <c r="A129" s="41" t="s">
        <v>22</v>
      </c>
      <c r="B129" s="37" t="s">
        <v>260</v>
      </c>
      <c r="C129" s="37" t="s">
        <v>261</v>
      </c>
      <c r="D129" s="37" t="s">
        <v>261</v>
      </c>
      <c r="E129" s="37" t="s">
        <v>261</v>
      </c>
      <c r="F129" s="37" t="s">
        <v>260</v>
      </c>
      <c r="G129" s="37" t="s">
        <v>260</v>
      </c>
      <c r="H129" s="37" t="s">
        <v>261</v>
      </c>
      <c r="I129" s="37"/>
      <c r="J129" s="37"/>
      <c r="K129" s="37"/>
      <c r="L129" s="40">
        <f>2898+21+52</f>
        <v>2971</v>
      </c>
      <c r="M129" s="37" t="s">
        <v>262</v>
      </c>
      <c r="N129" s="9">
        <f>SUM(B129:L130)</f>
        <v>103835</v>
      </c>
      <c r="O129" s="3"/>
    </row>
    <row r="130" spans="1:15">
      <c r="A130" s="38"/>
      <c r="B130" s="40">
        <v>48556</v>
      </c>
      <c r="C130" s="38">
        <v>41648</v>
      </c>
      <c r="D130" s="38">
        <v>1225</v>
      </c>
      <c r="E130" s="38">
        <v>5362</v>
      </c>
      <c r="F130" s="38">
        <v>2730</v>
      </c>
      <c r="G130" s="38">
        <v>1006</v>
      </c>
      <c r="H130" s="38">
        <v>337</v>
      </c>
      <c r="I130" s="38"/>
      <c r="J130" s="38"/>
      <c r="K130" s="38"/>
      <c r="L130" s="38"/>
      <c r="M130" s="41"/>
      <c r="N130" s="3"/>
      <c r="O130" s="3"/>
    </row>
    <row r="131" spans="1:15">
      <c r="A131" s="9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9"/>
      <c r="M131" s="9"/>
      <c r="N131" s="3"/>
      <c r="O131" s="3"/>
    </row>
    <row r="132" spans="1:15">
      <c r="A132" s="11" t="s">
        <v>25</v>
      </c>
      <c r="B132" s="8" t="s">
        <v>263</v>
      </c>
      <c r="C132" s="8" t="s">
        <v>264</v>
      </c>
      <c r="D132" s="8" t="s">
        <v>264</v>
      </c>
      <c r="E132" s="8" t="s">
        <v>264</v>
      </c>
      <c r="F132" s="8" t="s">
        <v>263</v>
      </c>
      <c r="G132" s="8" t="s">
        <v>263</v>
      </c>
      <c r="H132" s="8" t="s">
        <v>264</v>
      </c>
      <c r="I132" s="8"/>
      <c r="J132" s="8"/>
      <c r="K132" s="8"/>
      <c r="L132" s="9">
        <f>4872+13+36</f>
        <v>4921</v>
      </c>
      <c r="M132" s="8" t="s">
        <v>265</v>
      </c>
      <c r="N132" s="9">
        <f>SUM(B132:L133)</f>
        <v>131913</v>
      </c>
      <c r="O132" s="3"/>
    </row>
    <row r="133" spans="1:15">
      <c r="A133" s="9"/>
      <c r="B133" s="10">
        <v>54784</v>
      </c>
      <c r="C133" s="9">
        <v>54576</v>
      </c>
      <c r="D133" s="9">
        <v>2943</v>
      </c>
      <c r="E133" s="9">
        <v>9240</v>
      </c>
      <c r="F133" s="9">
        <v>3433</v>
      </c>
      <c r="G133" s="9">
        <v>1398</v>
      </c>
      <c r="H133" s="9">
        <v>618</v>
      </c>
      <c r="I133" s="9"/>
      <c r="J133" s="9"/>
      <c r="K133" s="9"/>
      <c r="L133" s="9"/>
      <c r="M133" s="11"/>
      <c r="N133" s="3"/>
      <c r="O133" s="3"/>
    </row>
    <row r="134" spans="1:15">
      <c r="A134" s="9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9"/>
      <c r="M134" s="9"/>
      <c r="N134" s="3"/>
      <c r="O134" s="3"/>
    </row>
    <row r="135" spans="1:15">
      <c r="A135" s="41" t="s">
        <v>27</v>
      </c>
      <c r="B135" s="37" t="s">
        <v>72</v>
      </c>
      <c r="C135" s="37" t="s">
        <v>175</v>
      </c>
      <c r="D135" s="37" t="s">
        <v>72</v>
      </c>
      <c r="E135" s="37" t="s">
        <v>175</v>
      </c>
      <c r="F135" s="37" t="s">
        <v>72</v>
      </c>
      <c r="G135" s="37"/>
      <c r="H135" s="37" t="s">
        <v>175</v>
      </c>
      <c r="I135" s="37"/>
      <c r="J135" s="37"/>
      <c r="K135" s="37"/>
      <c r="L135" s="38">
        <f>3363+43+83</f>
        <v>3489</v>
      </c>
      <c r="M135" s="37" t="s">
        <v>92</v>
      </c>
      <c r="N135" s="9">
        <f>SUM(B135:L136)</f>
        <v>100753</v>
      </c>
      <c r="O135" s="3"/>
    </row>
    <row r="136" spans="1:15">
      <c r="A136" s="38"/>
      <c r="B136" s="38">
        <v>61880</v>
      </c>
      <c r="C136" s="38">
        <v>23647</v>
      </c>
      <c r="D136" s="38">
        <v>2575</v>
      </c>
      <c r="E136" s="38">
        <v>4204</v>
      </c>
      <c r="F136" s="38">
        <v>4275</v>
      </c>
      <c r="G136" s="38"/>
      <c r="H136" s="38">
        <v>683</v>
      </c>
      <c r="I136" s="38"/>
      <c r="J136" s="38"/>
      <c r="K136" s="38"/>
      <c r="L136" s="38"/>
      <c r="M136" s="41"/>
      <c r="N136" s="3"/>
      <c r="O136" s="3"/>
    </row>
    <row r="137" spans="1:15">
      <c r="A137" s="9"/>
      <c r="B137" s="3"/>
      <c r="C137" s="3"/>
      <c r="D137" s="3"/>
      <c r="E137" s="3"/>
      <c r="F137" s="3"/>
      <c r="G137" s="3"/>
      <c r="H137" s="3"/>
      <c r="I137" s="3"/>
      <c r="J137" s="3"/>
      <c r="K137" s="9"/>
      <c r="L137" s="9"/>
      <c r="M137" s="9"/>
      <c r="N137" s="3"/>
      <c r="O137" s="3"/>
    </row>
    <row r="138" spans="1:15">
      <c r="A138" s="11" t="s">
        <v>30</v>
      </c>
      <c r="B138" s="8" t="s">
        <v>266</v>
      </c>
      <c r="C138" s="8" t="s">
        <v>86</v>
      </c>
      <c r="D138" s="8" t="s">
        <v>86</v>
      </c>
      <c r="E138" s="8" t="s">
        <v>86</v>
      </c>
      <c r="F138" s="8" t="s">
        <v>266</v>
      </c>
      <c r="G138" s="8"/>
      <c r="H138" s="8" t="s">
        <v>86</v>
      </c>
      <c r="I138" s="8"/>
      <c r="J138" s="8"/>
      <c r="K138" s="8"/>
      <c r="L138" s="9">
        <f>2780+12+33</f>
        <v>2825</v>
      </c>
      <c r="M138" s="8" t="s">
        <v>99</v>
      </c>
      <c r="N138" s="9">
        <f>SUM(B138:L139)</f>
        <v>104156</v>
      </c>
      <c r="O138" s="3"/>
    </row>
    <row r="139" spans="1:15">
      <c r="A139" s="9"/>
      <c r="B139" s="11">
        <v>33876</v>
      </c>
      <c r="C139" s="9">
        <v>56669</v>
      </c>
      <c r="D139" s="9">
        <v>3184</v>
      </c>
      <c r="E139" s="9">
        <v>4945</v>
      </c>
      <c r="F139" s="9">
        <v>2185</v>
      </c>
      <c r="G139" s="9"/>
      <c r="H139" s="9">
        <v>472</v>
      </c>
      <c r="I139" s="9"/>
      <c r="J139" s="9"/>
      <c r="K139" s="9"/>
      <c r="L139" s="9"/>
      <c r="M139" s="11"/>
      <c r="N139" s="3"/>
      <c r="O139" s="3"/>
    </row>
    <row r="140" spans="1:15">
      <c r="A140" s="9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9"/>
      <c r="N140" s="3"/>
      <c r="O140" s="3"/>
    </row>
    <row r="141" spans="1:15">
      <c r="A141" s="41" t="s">
        <v>31</v>
      </c>
      <c r="B141" s="37" t="s">
        <v>267</v>
      </c>
      <c r="C141" s="37" t="s">
        <v>144</v>
      </c>
      <c r="D141" s="37" t="s">
        <v>144</v>
      </c>
      <c r="E141" s="42" t="s">
        <v>144</v>
      </c>
      <c r="F141" s="42" t="s">
        <v>267</v>
      </c>
      <c r="G141" s="42" t="s">
        <v>267</v>
      </c>
      <c r="H141" s="42" t="s">
        <v>144</v>
      </c>
      <c r="I141" s="42"/>
      <c r="J141" s="42"/>
      <c r="K141" s="37"/>
      <c r="L141" s="38">
        <f>3506+57+32</f>
        <v>3595</v>
      </c>
      <c r="M141" s="37" t="s">
        <v>145</v>
      </c>
      <c r="N141" s="9">
        <f>SUM(B141:L142)</f>
        <v>125970</v>
      </c>
      <c r="O141" s="3"/>
    </row>
    <row r="142" spans="1:15">
      <c r="A142" s="38"/>
      <c r="B142" s="38">
        <v>48813</v>
      </c>
      <c r="C142" s="38">
        <v>55703</v>
      </c>
      <c r="D142" s="38">
        <v>2818</v>
      </c>
      <c r="E142" s="38">
        <v>9201</v>
      </c>
      <c r="F142" s="38">
        <v>3885</v>
      </c>
      <c r="G142" s="38">
        <v>1418</v>
      </c>
      <c r="H142" s="38">
        <v>537</v>
      </c>
      <c r="I142" s="38"/>
      <c r="J142" s="38"/>
      <c r="K142" s="38"/>
      <c r="L142" s="38"/>
      <c r="M142" s="41"/>
      <c r="N142" s="3"/>
      <c r="O142" s="3"/>
    </row>
    <row r="143" spans="1:15">
      <c r="A143" s="9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9"/>
      <c r="M143" s="9"/>
      <c r="N143" s="3"/>
      <c r="O143" s="3"/>
    </row>
    <row r="144" spans="1:15">
      <c r="A144" s="11" t="s">
        <v>34</v>
      </c>
      <c r="B144" s="8"/>
      <c r="C144" s="8" t="s">
        <v>106</v>
      </c>
      <c r="D144" s="8" t="s">
        <v>106</v>
      </c>
      <c r="E144" s="8" t="s">
        <v>106</v>
      </c>
      <c r="F144" s="8"/>
      <c r="G144" s="8"/>
      <c r="H144" s="8" t="s">
        <v>106</v>
      </c>
      <c r="I144" s="8"/>
      <c r="J144" s="8"/>
      <c r="K144" s="8"/>
      <c r="L144" s="9">
        <f>24227+407</f>
        <v>24634</v>
      </c>
      <c r="M144" s="8" t="s">
        <v>135</v>
      </c>
      <c r="N144" s="9">
        <f>SUM(B144:L145)</f>
        <v>99186</v>
      </c>
      <c r="O144" s="3"/>
    </row>
    <row r="145" spans="1:15">
      <c r="A145" s="9"/>
      <c r="B145" s="11"/>
      <c r="C145" s="9">
        <v>59879</v>
      </c>
      <c r="D145" s="9">
        <v>7063</v>
      </c>
      <c r="E145" s="9">
        <v>6736</v>
      </c>
      <c r="F145" s="9"/>
      <c r="G145" s="9"/>
      <c r="H145" s="9">
        <v>874</v>
      </c>
      <c r="I145" s="9"/>
      <c r="J145" s="9"/>
      <c r="K145" s="9"/>
      <c r="L145" s="9"/>
      <c r="M145" s="11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41" t="s">
        <v>37</v>
      </c>
      <c r="B147" s="42"/>
      <c r="C147" s="42" t="s">
        <v>126</v>
      </c>
      <c r="D147" s="42" t="s">
        <v>126</v>
      </c>
      <c r="E147" s="42" t="s">
        <v>126</v>
      </c>
      <c r="F147" s="42"/>
      <c r="G147" s="42"/>
      <c r="H147" s="42"/>
      <c r="I147" s="42"/>
      <c r="J147" s="42"/>
      <c r="K147" s="42"/>
      <c r="L147" s="40">
        <f>17882+30+421</f>
        <v>18333</v>
      </c>
      <c r="M147" s="42" t="s">
        <v>133</v>
      </c>
      <c r="N147" s="9">
        <f>SUM(B147:L148)</f>
        <v>88340</v>
      </c>
      <c r="O147" s="3"/>
    </row>
    <row r="148" spans="1:15">
      <c r="A148" s="39"/>
      <c r="B148" s="38"/>
      <c r="C148" s="38">
        <v>55917</v>
      </c>
      <c r="D148" s="38">
        <v>7144</v>
      </c>
      <c r="E148" s="38">
        <v>6946</v>
      </c>
      <c r="F148" s="38"/>
      <c r="G148" s="38"/>
      <c r="H148" s="38"/>
      <c r="I148" s="38"/>
      <c r="J148" s="38"/>
      <c r="K148" s="38"/>
      <c r="L148" s="39"/>
      <c r="M148" s="39"/>
      <c r="N148" s="9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9"/>
      <c r="O149" s="3"/>
    </row>
    <row r="150" spans="1:15">
      <c r="A150" s="11" t="s">
        <v>39</v>
      </c>
      <c r="B150" s="8" t="s">
        <v>268</v>
      </c>
      <c r="C150" s="8" t="s">
        <v>176</v>
      </c>
      <c r="D150" s="8" t="s">
        <v>176</v>
      </c>
      <c r="E150" s="8" t="s">
        <v>176</v>
      </c>
      <c r="F150" s="8" t="s">
        <v>268</v>
      </c>
      <c r="G150" s="8" t="s">
        <v>268</v>
      </c>
      <c r="H150" s="8" t="s">
        <v>176</v>
      </c>
      <c r="I150" s="8"/>
      <c r="J150" s="8"/>
      <c r="K150" s="8"/>
      <c r="L150" s="9">
        <f>2197+56+29</f>
        <v>2282</v>
      </c>
      <c r="M150" s="8" t="s">
        <v>178</v>
      </c>
      <c r="N150" s="9">
        <f>SUM(B150:L151)</f>
        <v>111120</v>
      </c>
      <c r="O150" s="3"/>
    </row>
    <row r="151" spans="1:15">
      <c r="A151" s="9"/>
      <c r="B151" s="9">
        <v>41059</v>
      </c>
      <c r="C151" s="9">
        <v>54556</v>
      </c>
      <c r="D151" s="9">
        <v>2331</v>
      </c>
      <c r="E151" s="9">
        <v>7172</v>
      </c>
      <c r="F151" s="9">
        <v>2075</v>
      </c>
      <c r="G151" s="9">
        <v>1151</v>
      </c>
      <c r="H151" s="9">
        <v>494</v>
      </c>
      <c r="I151" s="9"/>
      <c r="J151" s="9"/>
      <c r="K151" s="9"/>
      <c r="L151" s="9"/>
      <c r="M151" s="11"/>
      <c r="N151" s="9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9"/>
      <c r="O152" s="3"/>
    </row>
    <row r="153" spans="1:15">
      <c r="A153" s="41" t="s">
        <v>43</v>
      </c>
      <c r="B153" s="37" t="s">
        <v>269</v>
      </c>
      <c r="C153" s="37" t="s">
        <v>270</v>
      </c>
      <c r="D153" s="37" t="s">
        <v>270</v>
      </c>
      <c r="E153" s="37" t="s">
        <v>270</v>
      </c>
      <c r="F153" s="37" t="s">
        <v>269</v>
      </c>
      <c r="G153" s="37" t="s">
        <v>269</v>
      </c>
      <c r="H153" s="37"/>
      <c r="I153" s="37"/>
      <c r="J153" s="37"/>
      <c r="K153" s="37" t="s">
        <v>271</v>
      </c>
      <c r="L153" s="38">
        <f>2346+6+75</f>
        <v>2427</v>
      </c>
      <c r="M153" s="37" t="s">
        <v>272</v>
      </c>
      <c r="N153" s="9">
        <f>SUM(B153:L154)</f>
        <v>128315</v>
      </c>
      <c r="O153" s="3"/>
    </row>
    <row r="154" spans="1:15">
      <c r="A154" s="38"/>
      <c r="B154" s="41">
        <v>59998</v>
      </c>
      <c r="C154" s="38">
        <v>50970</v>
      </c>
      <c r="D154" s="38">
        <v>2881</v>
      </c>
      <c r="E154" s="38">
        <v>8132</v>
      </c>
      <c r="F154" s="38">
        <v>2427</v>
      </c>
      <c r="G154" s="38">
        <v>1133</v>
      </c>
      <c r="H154" s="38"/>
      <c r="I154" s="38"/>
      <c r="J154" s="38"/>
      <c r="K154" s="38">
        <v>347</v>
      </c>
      <c r="L154" s="38"/>
      <c r="M154" s="41"/>
      <c r="N154" s="9"/>
      <c r="O154" s="3"/>
    </row>
    <row r="155" spans="1:15">
      <c r="A155" s="9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9"/>
      <c r="M155" s="9"/>
      <c r="N155" s="9"/>
      <c r="O155" s="3"/>
    </row>
    <row r="156" spans="1:15">
      <c r="A156" s="11" t="s">
        <v>46</v>
      </c>
      <c r="B156" s="8" t="s">
        <v>273</v>
      </c>
      <c r="C156" s="8" t="s">
        <v>88</v>
      </c>
      <c r="D156" s="8" t="s">
        <v>88</v>
      </c>
      <c r="E156" s="8" t="s">
        <v>88</v>
      </c>
      <c r="F156" s="8"/>
      <c r="G156" s="8" t="s">
        <v>273</v>
      </c>
      <c r="H156" s="8" t="s">
        <v>88</v>
      </c>
      <c r="I156" s="8"/>
      <c r="J156" s="8"/>
      <c r="K156" s="8"/>
      <c r="L156" s="9">
        <f>3418+30+31</f>
        <v>3479</v>
      </c>
      <c r="M156" s="8" t="s">
        <v>44</v>
      </c>
      <c r="N156" s="9">
        <f>SUM(B156:L157)</f>
        <v>109190</v>
      </c>
      <c r="O156" s="3"/>
    </row>
    <row r="157" spans="1:15">
      <c r="A157" s="9"/>
      <c r="B157" s="9">
        <v>36628</v>
      </c>
      <c r="C157" s="9">
        <v>58100</v>
      </c>
      <c r="D157" s="9">
        <v>2500</v>
      </c>
      <c r="E157" s="9">
        <v>6014</v>
      </c>
      <c r="F157" s="9"/>
      <c r="G157" s="9">
        <v>1982</v>
      </c>
      <c r="H157" s="9">
        <v>487</v>
      </c>
      <c r="I157" s="9"/>
      <c r="J157" s="9"/>
      <c r="K157" s="9"/>
      <c r="L157" s="9"/>
      <c r="M157" s="11"/>
      <c r="N157" s="9"/>
      <c r="O157" s="3"/>
    </row>
    <row r="158" spans="1:15">
      <c r="A158" s="9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9"/>
      <c r="M158" s="9"/>
      <c r="N158" s="9"/>
      <c r="O158" s="3"/>
    </row>
    <row r="159" spans="1:15">
      <c r="A159" s="41" t="s">
        <v>48</v>
      </c>
      <c r="B159" s="37"/>
      <c r="C159" s="37" t="s">
        <v>181</v>
      </c>
      <c r="D159" s="37" t="s">
        <v>181</v>
      </c>
      <c r="E159" s="37" t="s">
        <v>181</v>
      </c>
      <c r="F159" s="37"/>
      <c r="G159" s="37"/>
      <c r="H159" s="37" t="s">
        <v>181</v>
      </c>
      <c r="I159" s="37"/>
      <c r="J159" s="37"/>
      <c r="K159" s="37"/>
      <c r="L159" s="38">
        <f>24895+18+1085</f>
        <v>25998</v>
      </c>
      <c r="M159" s="37" t="s">
        <v>182</v>
      </c>
      <c r="N159" s="9">
        <f>SUM(B159:L160)</f>
        <v>107092</v>
      </c>
      <c r="O159" s="3"/>
    </row>
    <row r="160" spans="1:15">
      <c r="A160" s="38"/>
      <c r="B160" s="38"/>
      <c r="C160" s="38">
        <v>66559</v>
      </c>
      <c r="D160" s="38">
        <v>7562</v>
      </c>
      <c r="E160" s="38">
        <v>5797</v>
      </c>
      <c r="F160" s="38"/>
      <c r="G160" s="38"/>
      <c r="H160" s="38">
        <v>1176</v>
      </c>
      <c r="I160" s="38"/>
      <c r="J160" s="38"/>
      <c r="K160" s="38"/>
      <c r="L160" s="38"/>
      <c r="M160" s="41"/>
      <c r="N160" s="9"/>
      <c r="O160" s="3"/>
    </row>
    <row r="161" spans="1:15">
      <c r="A161" s="9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9"/>
      <c r="M161" s="9"/>
      <c r="N161" s="9"/>
      <c r="O161" s="3"/>
    </row>
    <row r="162" spans="1:15">
      <c r="A162" s="11" t="s">
        <v>50</v>
      </c>
      <c r="B162" s="8" t="s">
        <v>274</v>
      </c>
      <c r="C162" s="8" t="s">
        <v>275</v>
      </c>
      <c r="D162" s="8" t="s">
        <v>98</v>
      </c>
      <c r="E162" s="8" t="s">
        <v>275</v>
      </c>
      <c r="F162" s="8" t="s">
        <v>274</v>
      </c>
      <c r="G162" s="8" t="s">
        <v>98</v>
      </c>
      <c r="H162" s="8"/>
      <c r="I162" s="8"/>
      <c r="J162" s="8"/>
      <c r="K162" s="8"/>
      <c r="L162" s="9">
        <f>3707+9+68</f>
        <v>3784</v>
      </c>
      <c r="M162" s="8" t="s">
        <v>276</v>
      </c>
      <c r="N162" s="9">
        <f>SUM(B162:L163)</f>
        <v>97526</v>
      </c>
      <c r="O162" s="3"/>
    </row>
    <row r="163" spans="1:15">
      <c r="A163" s="9"/>
      <c r="B163" s="11">
        <v>45706</v>
      </c>
      <c r="C163" s="9">
        <v>29627</v>
      </c>
      <c r="D163" s="9">
        <v>9625</v>
      </c>
      <c r="E163" s="9">
        <v>5021</v>
      </c>
      <c r="F163" s="9">
        <v>2370</v>
      </c>
      <c r="G163" s="9">
        <v>1393</v>
      </c>
      <c r="H163" s="9"/>
      <c r="I163" s="9"/>
      <c r="J163" s="9"/>
      <c r="K163" s="9"/>
      <c r="L163" s="9"/>
      <c r="M163" s="11"/>
      <c r="N163" s="9"/>
      <c r="O163" s="3"/>
    </row>
    <row r="164" spans="1:15">
      <c r="A164" s="9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9"/>
      <c r="M164" s="9"/>
      <c r="N164" s="9"/>
      <c r="O164" s="3"/>
    </row>
    <row r="165" spans="1:15">
      <c r="A165" s="41" t="s">
        <v>51</v>
      </c>
      <c r="B165" s="37" t="s">
        <v>183</v>
      </c>
      <c r="C165" s="37" t="s">
        <v>184</v>
      </c>
      <c r="D165" s="37" t="s">
        <v>184</v>
      </c>
      <c r="E165" s="37" t="s">
        <v>184</v>
      </c>
      <c r="F165" s="37" t="s">
        <v>183</v>
      </c>
      <c r="G165" s="37" t="s">
        <v>183</v>
      </c>
      <c r="H165" s="37" t="s">
        <v>184</v>
      </c>
      <c r="I165" s="37"/>
      <c r="J165" s="37"/>
      <c r="K165" s="37"/>
      <c r="L165" s="38">
        <f>4084+22+20</f>
        <v>4126</v>
      </c>
      <c r="M165" s="37" t="s">
        <v>185</v>
      </c>
      <c r="N165" s="9">
        <f>SUM(B165:L166)</f>
        <v>112618</v>
      </c>
      <c r="O165" s="3"/>
    </row>
    <row r="166" spans="1:15">
      <c r="A166" s="38"/>
      <c r="B166" s="38">
        <v>38808</v>
      </c>
      <c r="C166" s="38">
        <v>55858</v>
      </c>
      <c r="D166" s="38">
        <v>2566</v>
      </c>
      <c r="E166" s="38">
        <v>8249</v>
      </c>
      <c r="F166" s="38">
        <v>1618</v>
      </c>
      <c r="G166" s="38">
        <v>843</v>
      </c>
      <c r="H166" s="38">
        <v>550</v>
      </c>
      <c r="I166" s="38"/>
      <c r="J166" s="38"/>
      <c r="K166" s="41"/>
      <c r="L166" s="38"/>
      <c r="M166" s="41"/>
      <c r="N166" s="9"/>
      <c r="O166" s="3"/>
    </row>
    <row r="167" spans="1:15">
      <c r="A167" s="9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9"/>
      <c r="M167" s="9"/>
      <c r="N167" s="9"/>
      <c r="O167" s="3"/>
    </row>
    <row r="168" spans="1:15">
      <c r="A168" s="11" t="s">
        <v>53</v>
      </c>
      <c r="B168" s="8" t="s">
        <v>277</v>
      </c>
      <c r="C168" s="8" t="s">
        <v>155</v>
      </c>
      <c r="D168" s="8" t="s">
        <v>155</v>
      </c>
      <c r="E168" s="8" t="s">
        <v>155</v>
      </c>
      <c r="F168" s="8"/>
      <c r="G168" s="8"/>
      <c r="H168" s="8" t="s">
        <v>155</v>
      </c>
      <c r="I168" s="8"/>
      <c r="J168" s="8"/>
      <c r="K168" s="8"/>
      <c r="L168" s="9">
        <f>2737+38+38</f>
        <v>2813</v>
      </c>
      <c r="M168" s="8" t="s">
        <v>156</v>
      </c>
      <c r="N168" s="9">
        <f>SUM(B168:L169)</f>
        <v>130499</v>
      </c>
      <c r="O168" s="3"/>
    </row>
    <row r="169" spans="1:15">
      <c r="A169" s="9"/>
      <c r="B169" s="9">
        <v>61407</v>
      </c>
      <c r="C169" s="9">
        <v>54429</v>
      </c>
      <c r="D169" s="9">
        <v>3097</v>
      </c>
      <c r="E169" s="9">
        <v>8210</v>
      </c>
      <c r="F169" s="9"/>
      <c r="G169" s="9"/>
      <c r="H169" s="9">
        <v>543</v>
      </c>
      <c r="I169" s="9"/>
      <c r="J169" s="9"/>
      <c r="K169" s="9"/>
      <c r="L169" s="9"/>
      <c r="M169" s="11"/>
      <c r="N169" s="9"/>
      <c r="O169" s="3"/>
    </row>
    <row r="170" spans="1:15">
      <c r="A170" s="9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9"/>
      <c r="M170" s="9"/>
      <c r="N170" s="9"/>
      <c r="O170" s="3"/>
    </row>
    <row r="171" spans="1:15">
      <c r="A171" s="41" t="s">
        <v>55</v>
      </c>
      <c r="B171" s="37" t="s">
        <v>278</v>
      </c>
      <c r="C171" s="37" t="s">
        <v>89</v>
      </c>
      <c r="D171" s="37" t="s">
        <v>89</v>
      </c>
      <c r="E171" s="37" t="s">
        <v>89</v>
      </c>
      <c r="F171" s="37" t="s">
        <v>278</v>
      </c>
      <c r="G171" s="37" t="s">
        <v>278</v>
      </c>
      <c r="H171" s="37" t="s">
        <v>89</v>
      </c>
      <c r="I171" s="37"/>
      <c r="J171" s="37"/>
      <c r="K171" s="37"/>
      <c r="L171" s="38">
        <f>2713+100+27</f>
        <v>2840</v>
      </c>
      <c r="M171" s="37" t="s">
        <v>90</v>
      </c>
      <c r="N171" s="9">
        <f>SUM(B171:L172)</f>
        <v>98428</v>
      </c>
      <c r="O171" s="3"/>
    </row>
    <row r="172" spans="1:15">
      <c r="A172" s="38"/>
      <c r="B172" s="40">
        <v>40214</v>
      </c>
      <c r="C172" s="40">
        <v>43152</v>
      </c>
      <c r="D172" s="40">
        <v>2310</v>
      </c>
      <c r="E172" s="40">
        <v>7200</v>
      </c>
      <c r="F172" s="40">
        <v>1452</v>
      </c>
      <c r="G172" s="40">
        <v>831</v>
      </c>
      <c r="H172" s="40">
        <v>429</v>
      </c>
      <c r="I172" s="40"/>
      <c r="J172" s="40"/>
      <c r="K172" s="38"/>
      <c r="L172" s="38"/>
      <c r="M172" s="41"/>
      <c r="N172" s="9"/>
      <c r="O172" s="3"/>
    </row>
    <row r="173" spans="1:15">
      <c r="A173" s="9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9"/>
      <c r="M173" s="9"/>
      <c r="N173" s="9"/>
      <c r="O173" s="3"/>
    </row>
    <row r="174" spans="1:15">
      <c r="A174" s="11" t="s">
        <v>57</v>
      </c>
      <c r="B174" s="8"/>
      <c r="C174" s="8" t="s">
        <v>100</v>
      </c>
      <c r="D174" s="8" t="s">
        <v>100</v>
      </c>
      <c r="E174" s="8" t="s">
        <v>100</v>
      </c>
      <c r="F174" s="8"/>
      <c r="G174" s="8"/>
      <c r="H174" s="8" t="s">
        <v>100</v>
      </c>
      <c r="I174" s="8"/>
      <c r="J174" s="8"/>
      <c r="K174" s="8"/>
      <c r="L174" s="9">
        <f>14774+53+320</f>
        <v>15147</v>
      </c>
      <c r="M174" s="10" t="s">
        <v>115</v>
      </c>
      <c r="N174" s="9">
        <f>SUM(B174:L175)</f>
        <v>93511</v>
      </c>
      <c r="O174" s="3"/>
    </row>
    <row r="175" spans="1:15">
      <c r="A175" s="9"/>
      <c r="B175" s="10"/>
      <c r="C175" s="10">
        <v>64261</v>
      </c>
      <c r="D175" s="10">
        <v>4961</v>
      </c>
      <c r="E175" s="10">
        <v>8414</v>
      </c>
      <c r="F175" s="10"/>
      <c r="G175" s="10"/>
      <c r="H175" s="10">
        <v>728</v>
      </c>
      <c r="I175" s="10"/>
      <c r="J175" s="10"/>
      <c r="K175" s="9"/>
      <c r="L175" s="9"/>
      <c r="M175" s="11"/>
      <c r="N175" s="9"/>
      <c r="O175" s="3"/>
    </row>
    <row r="176" spans="1:15">
      <c r="A176" s="9"/>
      <c r="B176" s="10"/>
      <c r="C176" s="10"/>
      <c r="D176" s="10"/>
      <c r="E176" s="10"/>
      <c r="F176" s="10"/>
      <c r="G176" s="10"/>
      <c r="H176" s="10"/>
      <c r="I176" s="10"/>
      <c r="J176" s="10"/>
      <c r="K176" s="9"/>
      <c r="L176" s="9"/>
      <c r="M176" s="11"/>
      <c r="N176" s="9"/>
      <c r="O176" s="3"/>
    </row>
    <row r="177" spans="1:15" ht="17.25">
      <c r="A177" s="11" t="s">
        <v>819</v>
      </c>
      <c r="B177" s="10" t="s">
        <v>1280</v>
      </c>
      <c r="C177" s="10" t="s">
        <v>1281</v>
      </c>
      <c r="D177" s="10" t="s">
        <v>1281</v>
      </c>
      <c r="E177" s="10" t="s">
        <v>1281</v>
      </c>
      <c r="F177" s="10" t="s">
        <v>1280</v>
      </c>
      <c r="G177" s="10"/>
      <c r="H177" s="10"/>
      <c r="I177" s="10"/>
      <c r="J177" s="10" t="s">
        <v>1281</v>
      </c>
      <c r="K177" s="9"/>
      <c r="L177" s="71">
        <v>4292</v>
      </c>
      <c r="M177" s="8" t="s">
        <v>1282</v>
      </c>
      <c r="N177" s="9">
        <f>SUM(B177:L178)</f>
        <v>64125</v>
      </c>
      <c r="O177" s="3"/>
    </row>
    <row r="178" spans="1:15">
      <c r="A178" s="9"/>
      <c r="B178" s="70">
        <v>15721</v>
      </c>
      <c r="C178" s="70">
        <v>34759</v>
      </c>
      <c r="D178" s="70">
        <v>1955</v>
      </c>
      <c r="E178" s="70">
        <v>5066</v>
      </c>
      <c r="F178" s="70">
        <v>1549</v>
      </c>
      <c r="G178" s="10"/>
      <c r="H178" s="10"/>
      <c r="I178" s="10"/>
      <c r="J178" s="70">
        <v>783</v>
      </c>
      <c r="K178" s="9"/>
      <c r="L178" s="9"/>
      <c r="M178" s="11"/>
      <c r="N178" s="9"/>
      <c r="O178" s="3"/>
    </row>
    <row r="179" spans="1:15">
      <c r="A179" s="9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9"/>
      <c r="M179" s="9"/>
      <c r="N179" s="9"/>
      <c r="O179" s="3"/>
    </row>
    <row r="180" spans="1:15">
      <c r="A180" s="41" t="s">
        <v>60</v>
      </c>
      <c r="B180" s="37" t="s">
        <v>279</v>
      </c>
      <c r="C180" s="37" t="s">
        <v>127</v>
      </c>
      <c r="D180" s="37" t="s">
        <v>127</v>
      </c>
      <c r="E180" s="37" t="s">
        <v>127</v>
      </c>
      <c r="F180" s="37" t="s">
        <v>279</v>
      </c>
      <c r="G180" s="37"/>
      <c r="H180" s="37" t="s">
        <v>127</v>
      </c>
      <c r="I180" s="37"/>
      <c r="J180" s="37"/>
      <c r="K180" s="40"/>
      <c r="L180" s="38">
        <f>3533+28+452</f>
        <v>4013</v>
      </c>
      <c r="M180" s="37" t="s">
        <v>128</v>
      </c>
      <c r="N180" s="9">
        <f>SUM(B180:L181)</f>
        <v>102032</v>
      </c>
      <c r="O180" s="3"/>
    </row>
    <row r="181" spans="1:15">
      <c r="A181" s="38"/>
      <c r="B181" s="40">
        <v>36546</v>
      </c>
      <c r="C181" s="38">
        <v>51487</v>
      </c>
      <c r="D181" s="40">
        <v>1813</v>
      </c>
      <c r="E181" s="40">
        <v>4565</v>
      </c>
      <c r="F181" s="40">
        <v>3268</v>
      </c>
      <c r="G181" s="40"/>
      <c r="H181" s="40">
        <v>340</v>
      </c>
      <c r="I181" s="40"/>
      <c r="J181" s="40"/>
      <c r="K181" s="38"/>
      <c r="L181" s="38"/>
      <c r="M181" s="41"/>
      <c r="N181" s="9"/>
      <c r="O181" s="3"/>
    </row>
    <row r="182" spans="1:15">
      <c r="A182" s="9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9"/>
      <c r="M182" s="9"/>
      <c r="N182" s="9"/>
      <c r="O182" s="3"/>
    </row>
    <row r="183" spans="1:15">
      <c r="A183" s="11" t="s">
        <v>61</v>
      </c>
      <c r="B183" s="8"/>
      <c r="C183" s="8" t="s">
        <v>131</v>
      </c>
      <c r="D183" s="8" t="s">
        <v>131</v>
      </c>
      <c r="E183" s="8" t="s">
        <v>131</v>
      </c>
      <c r="F183" s="8"/>
      <c r="G183" s="8"/>
      <c r="H183" s="8" t="s">
        <v>131</v>
      </c>
      <c r="I183" s="8"/>
      <c r="J183" s="8"/>
      <c r="K183" s="10"/>
      <c r="L183" s="9">
        <f>29406+3+438</f>
        <v>29847</v>
      </c>
      <c r="M183" s="8" t="s">
        <v>132</v>
      </c>
      <c r="N183" s="9">
        <f>SUM(B183:L184)</f>
        <v>121585</v>
      </c>
      <c r="O183" s="3"/>
    </row>
    <row r="184" spans="1:15">
      <c r="A184" s="9"/>
      <c r="B184" s="10"/>
      <c r="C184" s="9">
        <v>67140</v>
      </c>
      <c r="D184" s="10">
        <v>8969</v>
      </c>
      <c r="E184" s="10">
        <v>14280</v>
      </c>
      <c r="F184" s="10"/>
      <c r="G184" s="10"/>
      <c r="H184" s="10">
        <v>1349</v>
      </c>
      <c r="I184" s="10"/>
      <c r="J184" s="10"/>
      <c r="K184" s="9"/>
      <c r="L184" s="9"/>
      <c r="M184" s="11"/>
      <c r="N184" s="9"/>
      <c r="O184" s="3"/>
    </row>
    <row r="185" spans="1:15">
      <c r="A185" s="9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9"/>
      <c r="M185" s="9"/>
      <c r="N185" s="9"/>
      <c r="O185" s="3"/>
    </row>
    <row r="186" spans="1:15">
      <c r="A186" s="41" t="s">
        <v>62</v>
      </c>
      <c r="B186" s="37" t="s">
        <v>280</v>
      </c>
      <c r="C186" s="37" t="s">
        <v>191</v>
      </c>
      <c r="D186" s="37" t="s">
        <v>191</v>
      </c>
      <c r="E186" s="37" t="s">
        <v>191</v>
      </c>
      <c r="F186" s="37" t="s">
        <v>280</v>
      </c>
      <c r="G186" s="37" t="s">
        <v>280</v>
      </c>
      <c r="H186" s="37" t="s">
        <v>191</v>
      </c>
      <c r="I186" s="37"/>
      <c r="J186" s="37"/>
      <c r="K186" s="40"/>
      <c r="L186" s="38">
        <v>3727</v>
      </c>
      <c r="M186" s="37" t="s">
        <v>192</v>
      </c>
      <c r="N186" s="9">
        <f>SUM(B186:L187)</f>
        <v>114357</v>
      </c>
      <c r="O186" s="3"/>
    </row>
    <row r="187" spans="1:15">
      <c r="A187" s="38"/>
      <c r="B187" s="40">
        <v>45106</v>
      </c>
      <c r="C187" s="40">
        <v>48643</v>
      </c>
      <c r="D187" s="40">
        <v>3027</v>
      </c>
      <c r="E187" s="40">
        <v>9490</v>
      </c>
      <c r="F187" s="40">
        <v>2537</v>
      </c>
      <c r="G187" s="40">
        <v>1300</v>
      </c>
      <c r="H187" s="40">
        <v>527</v>
      </c>
      <c r="I187" s="40"/>
      <c r="J187" s="40"/>
      <c r="K187" s="40"/>
      <c r="L187" s="38"/>
      <c r="M187" s="41"/>
      <c r="N187" s="9"/>
      <c r="O187" s="3"/>
    </row>
    <row r="188" spans="1:15">
      <c r="A188" s="9"/>
      <c r="B188" s="26"/>
      <c r="C188" s="27"/>
      <c r="D188" s="27"/>
      <c r="E188" s="27"/>
      <c r="F188" s="27"/>
      <c r="G188" s="27"/>
      <c r="H188" s="27"/>
      <c r="I188" s="27"/>
      <c r="J188" s="27"/>
      <c r="K188" s="9"/>
      <c r="L188" s="9"/>
      <c r="M188" s="9"/>
      <c r="N188" s="9"/>
      <c r="O188" s="3"/>
    </row>
    <row r="189" spans="1:15">
      <c r="A189" s="11" t="s">
        <v>64</v>
      </c>
      <c r="B189" s="8" t="s">
        <v>281</v>
      </c>
      <c r="C189" s="8" t="s">
        <v>111</v>
      </c>
      <c r="D189" s="8" t="s">
        <v>111</v>
      </c>
      <c r="E189" s="8" t="s">
        <v>111</v>
      </c>
      <c r="F189" s="8" t="s">
        <v>281</v>
      </c>
      <c r="G189" s="8" t="s">
        <v>281</v>
      </c>
      <c r="H189" s="8" t="s">
        <v>111</v>
      </c>
      <c r="I189" s="8"/>
      <c r="J189" s="8"/>
      <c r="K189" s="8"/>
      <c r="L189" s="9">
        <f>3819+14+20</f>
        <v>3853</v>
      </c>
      <c r="M189" s="8" t="s">
        <v>112</v>
      </c>
      <c r="N189" s="9">
        <f>SUM(B189:L190)</f>
        <v>116104</v>
      </c>
      <c r="O189" s="3"/>
    </row>
    <row r="190" spans="1:15">
      <c r="A190" s="9"/>
      <c r="B190" s="10">
        <v>48279</v>
      </c>
      <c r="C190" s="10">
        <v>49410</v>
      </c>
      <c r="D190" s="10">
        <v>1746</v>
      </c>
      <c r="E190" s="10">
        <v>9199</v>
      </c>
      <c r="F190" s="10">
        <v>2010</v>
      </c>
      <c r="G190" s="10">
        <v>1182</v>
      </c>
      <c r="H190" s="10">
        <v>425</v>
      </c>
      <c r="I190" s="10"/>
      <c r="J190" s="10"/>
      <c r="K190" s="10"/>
      <c r="L190" s="9"/>
      <c r="M190" s="9"/>
      <c r="N190" s="9"/>
      <c r="O190" s="3"/>
    </row>
    <row r="191" spans="1:15">
      <c r="A191" s="9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9"/>
      <c r="M191" s="9"/>
      <c r="N191" s="9"/>
      <c r="O191" s="3"/>
    </row>
    <row r="192" spans="1:15">
      <c r="A192" s="38" t="s">
        <v>91</v>
      </c>
      <c r="B192" s="40"/>
      <c r="C192" s="40" t="s">
        <v>157</v>
      </c>
      <c r="D192" s="40" t="s">
        <v>157</v>
      </c>
      <c r="E192" s="40" t="s">
        <v>157</v>
      </c>
      <c r="F192" s="40"/>
      <c r="G192" s="40"/>
      <c r="H192" s="40" t="s">
        <v>157</v>
      </c>
      <c r="I192" s="40" t="s">
        <v>282</v>
      </c>
      <c r="J192" s="40"/>
      <c r="K192" s="40"/>
      <c r="L192" s="38">
        <f>19818+7+131</f>
        <v>19956</v>
      </c>
      <c r="M192" s="40" t="s">
        <v>158</v>
      </c>
      <c r="N192" s="9">
        <f>SUM(B192:L193)</f>
        <v>99613</v>
      </c>
      <c r="O192" s="3"/>
    </row>
    <row r="193" spans="1:15">
      <c r="A193" s="38"/>
      <c r="B193" s="40"/>
      <c r="C193" s="40">
        <v>54154</v>
      </c>
      <c r="D193" s="40">
        <v>4506</v>
      </c>
      <c r="E193" s="40">
        <v>9804</v>
      </c>
      <c r="F193" s="40"/>
      <c r="G193" s="40"/>
      <c r="H193" s="40">
        <v>654</v>
      </c>
      <c r="I193" s="40">
        <v>10539</v>
      </c>
      <c r="J193" s="40"/>
      <c r="K193" s="40"/>
      <c r="L193" s="38"/>
      <c r="M193" s="38"/>
      <c r="N193" s="9"/>
      <c r="O193" s="3"/>
    </row>
    <row r="194" spans="1:15">
      <c r="A194" s="9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9"/>
      <c r="M194" s="9"/>
      <c r="N194" s="9"/>
      <c r="O194" s="3"/>
    </row>
    <row r="195" spans="1:15">
      <c r="A195" s="9" t="s">
        <v>146</v>
      </c>
      <c r="B195" s="10" t="s">
        <v>129</v>
      </c>
      <c r="C195" s="10"/>
      <c r="D195" s="10" t="s">
        <v>129</v>
      </c>
      <c r="E195" s="10"/>
      <c r="F195" s="10" t="s">
        <v>129</v>
      </c>
      <c r="G195" s="10" t="s">
        <v>129</v>
      </c>
      <c r="H195" s="10"/>
      <c r="I195" s="10"/>
      <c r="J195" s="10"/>
      <c r="K195" s="10"/>
      <c r="L195" s="9">
        <v>15451</v>
      </c>
      <c r="M195" s="10" t="s">
        <v>130</v>
      </c>
      <c r="N195" s="9">
        <f>SUM(B195:L196)</f>
        <v>85672</v>
      </c>
      <c r="O195" s="3"/>
    </row>
    <row r="196" spans="1:15">
      <c r="A196" s="9"/>
      <c r="B196" s="10">
        <v>62370</v>
      </c>
      <c r="C196" s="10"/>
      <c r="D196" s="10">
        <v>3006</v>
      </c>
      <c r="E196" s="10"/>
      <c r="F196" s="10">
        <v>3811</v>
      </c>
      <c r="G196" s="10">
        <v>1034</v>
      </c>
      <c r="H196" s="10"/>
      <c r="I196" s="10"/>
      <c r="J196" s="10"/>
      <c r="K196" s="10"/>
      <c r="L196" s="9"/>
      <c r="M196" s="9"/>
      <c r="N196" s="9"/>
      <c r="O196" s="3"/>
    </row>
    <row r="197" spans="1:15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9"/>
      <c r="O197" s="3"/>
    </row>
    <row r="198" spans="1:15">
      <c r="A198" s="11" t="s">
        <v>66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9"/>
      <c r="O198" s="3"/>
    </row>
    <row r="199" spans="1:15">
      <c r="A199" s="16" t="s">
        <v>285</v>
      </c>
      <c r="B199" s="15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9"/>
      <c r="O199" s="3"/>
    </row>
    <row r="200" spans="1:15">
      <c r="A200" s="17" t="s">
        <v>284</v>
      </c>
      <c r="B200" s="15"/>
      <c r="C200" s="15"/>
      <c r="D200" s="15"/>
      <c r="E200" s="3"/>
      <c r="F200" s="3"/>
      <c r="G200" s="3"/>
      <c r="H200" s="3"/>
      <c r="I200" s="3"/>
      <c r="J200" s="3"/>
      <c r="K200" s="3"/>
      <c r="L200" s="3"/>
      <c r="M200" s="3"/>
      <c r="N200" s="9"/>
      <c r="O200" s="3"/>
    </row>
    <row r="201" spans="1:15">
      <c r="A201" s="9" t="s">
        <v>283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9"/>
      <c r="O201" s="3"/>
    </row>
    <row r="202" spans="1:15">
      <c r="A202" s="9" t="s">
        <v>1283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9"/>
      <c r="O202" s="3"/>
    </row>
    <row r="203" spans="1:15">
      <c r="A203" s="9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9"/>
      <c r="O203" s="3"/>
    </row>
    <row r="204" spans="1:15">
      <c r="A204" s="72" t="s">
        <v>1284</v>
      </c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9"/>
      <c r="O204" s="3"/>
    </row>
    <row r="205" spans="1:15">
      <c r="A205" s="9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9"/>
      <c r="O205" s="3"/>
    </row>
    <row r="206" spans="1:15">
      <c r="A206" s="9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9"/>
      <c r="O206" s="3"/>
    </row>
    <row r="207" spans="1: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9"/>
      <c r="O207" s="3"/>
    </row>
    <row r="208" spans="1: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9"/>
      <c r="O208" s="3"/>
    </row>
    <row r="209" spans="1: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</sheetData>
  <phoneticPr fontId="0" type="noConversion"/>
  <hyperlinks>
    <hyperlink ref="A204" r:id="rId1"/>
  </hyperlinks>
  <pageMargins left="0.75" right="0.75" top="0.5" bottom="0.5" header="0" footer="0"/>
  <pageSetup paperSize="5" scale="65" fitToHeight="8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0"/>
  <sheetViews>
    <sheetView workbookViewId="0"/>
  </sheetViews>
  <sheetFormatPr defaultColWidth="15.77734375" defaultRowHeight="15.75"/>
  <cols>
    <col min="1" max="1" width="17.77734375" customWidth="1"/>
    <col min="14" max="14" width="25.77734375" customWidth="1"/>
  </cols>
  <sheetData>
    <row r="1" spans="1:15" ht="20.25">
      <c r="A1" s="29" t="s">
        <v>0</v>
      </c>
      <c r="B1" s="5"/>
      <c r="C1" s="5"/>
      <c r="D1" s="5"/>
      <c r="E1" s="5"/>
      <c r="F1" s="5"/>
      <c r="G1" s="3"/>
      <c r="H1" s="3"/>
      <c r="I1" s="3"/>
      <c r="J1" s="3"/>
      <c r="K1" s="3"/>
      <c r="L1" s="3"/>
      <c r="M1" s="3"/>
      <c r="N1" s="3"/>
      <c r="O1" s="3"/>
    </row>
    <row r="2" spans="1:15" ht="20.25">
      <c r="A2" s="30" t="s">
        <v>1004</v>
      </c>
      <c r="B2" s="5"/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29.25">
      <c r="A4" s="31" t="s">
        <v>1</v>
      </c>
      <c r="B4" s="32" t="s">
        <v>73</v>
      </c>
      <c r="C4" s="33" t="s">
        <v>2</v>
      </c>
      <c r="D4" s="33" t="s">
        <v>760</v>
      </c>
      <c r="E4" s="33" t="s">
        <v>904</v>
      </c>
      <c r="F4" s="33" t="s">
        <v>825</v>
      </c>
      <c r="G4" s="33" t="s">
        <v>826</v>
      </c>
      <c r="H4" s="34" t="s">
        <v>196</v>
      </c>
      <c r="I4" s="34" t="s">
        <v>199</v>
      </c>
      <c r="J4" s="34" t="s">
        <v>200</v>
      </c>
      <c r="K4" s="34" t="s">
        <v>201</v>
      </c>
      <c r="L4" s="33" t="s">
        <v>195</v>
      </c>
      <c r="M4" s="35" t="s">
        <v>197</v>
      </c>
      <c r="N4" s="33" t="s">
        <v>3</v>
      </c>
      <c r="O4" s="3"/>
    </row>
    <row r="5" spans="1:15">
      <c r="A5" s="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/>
      <c r="O5" s="3"/>
    </row>
    <row r="6" spans="1:15">
      <c r="A6" s="7" t="s">
        <v>4</v>
      </c>
      <c r="B6" s="8" t="s">
        <v>905</v>
      </c>
      <c r="C6" s="8" t="s">
        <v>684</v>
      </c>
      <c r="D6" s="8" t="s">
        <v>684</v>
      </c>
      <c r="E6" s="8" t="s">
        <v>74</v>
      </c>
      <c r="F6" s="8"/>
      <c r="G6" s="8" t="s">
        <v>906</v>
      </c>
      <c r="H6" s="8"/>
      <c r="I6" s="8"/>
      <c r="J6" s="8" t="s">
        <v>1005</v>
      </c>
      <c r="K6" s="8"/>
      <c r="L6" s="8"/>
      <c r="M6" s="9">
        <v>20815</v>
      </c>
      <c r="N6" s="8" t="s">
        <v>685</v>
      </c>
      <c r="O6" s="3"/>
    </row>
    <row r="7" spans="1:15">
      <c r="A7" s="3"/>
      <c r="B7" s="10">
        <v>38245</v>
      </c>
      <c r="C7" s="10">
        <v>71783</v>
      </c>
      <c r="D7" s="10">
        <v>5060</v>
      </c>
      <c r="E7" s="10">
        <v>4598</v>
      </c>
      <c r="F7" s="9"/>
      <c r="G7" s="9">
        <v>2810</v>
      </c>
      <c r="H7" s="9"/>
      <c r="I7" s="9"/>
      <c r="J7" s="9">
        <v>1357</v>
      </c>
      <c r="K7" s="9"/>
      <c r="L7" s="10"/>
      <c r="M7" s="9"/>
      <c r="N7" s="11"/>
      <c r="O7" s="3"/>
    </row>
    <row r="8" spans="1:15">
      <c r="A8" s="3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3"/>
    </row>
    <row r="9" spans="1:15">
      <c r="A9" s="36" t="s">
        <v>6</v>
      </c>
      <c r="B9" s="37" t="s">
        <v>907</v>
      </c>
      <c r="C9" s="37" t="s">
        <v>908</v>
      </c>
      <c r="D9" s="37" t="s">
        <v>908</v>
      </c>
      <c r="E9" s="37" t="s">
        <v>909</v>
      </c>
      <c r="F9" s="37"/>
      <c r="G9" s="37" t="s">
        <v>910</v>
      </c>
      <c r="H9" s="37"/>
      <c r="I9" s="37"/>
      <c r="J9" s="37"/>
      <c r="K9" s="37"/>
      <c r="L9" s="37"/>
      <c r="M9" s="38">
        <v>24646</v>
      </c>
      <c r="N9" s="37" t="s">
        <v>911</v>
      </c>
      <c r="O9" s="3"/>
    </row>
    <row r="10" spans="1:15">
      <c r="A10" s="39"/>
      <c r="B10" s="40">
        <v>39011</v>
      </c>
      <c r="C10" s="40">
        <v>59178</v>
      </c>
      <c r="D10" s="40">
        <v>4820</v>
      </c>
      <c r="E10" s="40">
        <v>3523</v>
      </c>
      <c r="F10" s="38"/>
      <c r="G10" s="40">
        <v>4166</v>
      </c>
      <c r="H10" s="40"/>
      <c r="I10" s="40"/>
      <c r="J10" s="40"/>
      <c r="K10" s="40"/>
      <c r="L10" s="40"/>
      <c r="M10" s="38"/>
      <c r="N10" s="41"/>
      <c r="O10" s="3"/>
    </row>
    <row r="11" spans="1:15">
      <c r="A11" s="3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</row>
    <row r="12" spans="1:15">
      <c r="A12" s="7" t="s">
        <v>7</v>
      </c>
      <c r="B12" s="8" t="s">
        <v>912</v>
      </c>
      <c r="C12" s="8" t="s">
        <v>604</v>
      </c>
      <c r="D12" s="8" t="s">
        <v>604</v>
      </c>
      <c r="E12" s="8" t="s">
        <v>605</v>
      </c>
      <c r="F12" s="8"/>
      <c r="G12" s="8" t="s">
        <v>828</v>
      </c>
      <c r="H12" s="8"/>
      <c r="I12" s="8"/>
      <c r="J12" s="8"/>
      <c r="K12" s="8"/>
      <c r="L12" s="8"/>
      <c r="M12" s="9">
        <v>22383</v>
      </c>
      <c r="N12" s="8" t="s">
        <v>688</v>
      </c>
      <c r="O12" s="3"/>
    </row>
    <row r="13" spans="1:15">
      <c r="A13" s="3"/>
      <c r="B13" s="10">
        <v>32880</v>
      </c>
      <c r="C13" s="10">
        <v>49420</v>
      </c>
      <c r="D13" s="10">
        <v>3822</v>
      </c>
      <c r="E13" s="10">
        <v>3258</v>
      </c>
      <c r="F13" s="9"/>
      <c r="G13" s="10">
        <v>3204</v>
      </c>
      <c r="H13" s="10"/>
      <c r="I13" s="10"/>
      <c r="J13" s="10"/>
      <c r="K13" s="10"/>
      <c r="L13" s="10"/>
      <c r="M13" s="9"/>
      <c r="N13" s="11"/>
      <c r="O13" s="3"/>
    </row>
    <row r="14" spans="1:15">
      <c r="A14" s="3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</row>
    <row r="15" spans="1:15">
      <c r="A15" s="36" t="s">
        <v>9</v>
      </c>
      <c r="B15" s="37"/>
      <c r="C15" s="37" t="s">
        <v>520</v>
      </c>
      <c r="D15" s="37" t="s">
        <v>520</v>
      </c>
      <c r="E15" s="37" t="s">
        <v>482</v>
      </c>
      <c r="F15" s="37"/>
      <c r="G15" s="37" t="s">
        <v>913</v>
      </c>
      <c r="H15" s="37"/>
      <c r="I15" s="37"/>
      <c r="J15" s="37" t="s">
        <v>1006</v>
      </c>
      <c r="K15" s="37"/>
      <c r="L15" s="37"/>
      <c r="M15" s="38">
        <v>47632</v>
      </c>
      <c r="N15" s="37" t="s">
        <v>521</v>
      </c>
      <c r="O15" s="3"/>
    </row>
    <row r="16" spans="1:15">
      <c r="A16" s="39"/>
      <c r="B16" s="40"/>
      <c r="C16" s="40">
        <v>47780</v>
      </c>
      <c r="D16" s="40">
        <v>4535</v>
      </c>
      <c r="E16" s="40">
        <v>4830</v>
      </c>
      <c r="F16" s="38"/>
      <c r="G16" s="38">
        <v>3654</v>
      </c>
      <c r="H16" s="38"/>
      <c r="I16" s="38"/>
      <c r="J16" s="38">
        <v>1729</v>
      </c>
      <c r="K16" s="38"/>
      <c r="L16" s="40"/>
      <c r="M16" s="38"/>
      <c r="N16" s="41"/>
      <c r="O16" s="3"/>
    </row>
    <row r="17" spans="1:15">
      <c r="A17" s="3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3"/>
    </row>
    <row r="18" spans="1:15">
      <c r="A18" s="7" t="s">
        <v>11</v>
      </c>
      <c r="B18" s="10" t="s">
        <v>522</v>
      </c>
      <c r="C18" s="10" t="s">
        <v>12</v>
      </c>
      <c r="D18" s="10" t="s">
        <v>12</v>
      </c>
      <c r="E18" s="10" t="s">
        <v>75</v>
      </c>
      <c r="F18" s="10" t="s">
        <v>914</v>
      </c>
      <c r="G18" s="10" t="s">
        <v>915</v>
      </c>
      <c r="H18" s="10" t="s">
        <v>522</v>
      </c>
      <c r="I18" s="10"/>
      <c r="J18" s="10" t="s">
        <v>522</v>
      </c>
      <c r="K18" s="10"/>
      <c r="L18" s="10"/>
      <c r="M18" s="10">
        <v>19104</v>
      </c>
      <c r="N18" s="10" t="s">
        <v>13</v>
      </c>
      <c r="O18" s="3"/>
    </row>
    <row r="19" spans="1:15">
      <c r="A19" s="3"/>
      <c r="B19" s="10">
        <v>50388</v>
      </c>
      <c r="C19" s="10">
        <v>58920</v>
      </c>
      <c r="D19" s="10">
        <v>3961</v>
      </c>
      <c r="E19" s="10">
        <v>2800</v>
      </c>
      <c r="F19" s="10">
        <v>889</v>
      </c>
      <c r="G19" s="10">
        <v>2719</v>
      </c>
      <c r="H19" s="10">
        <v>814</v>
      </c>
      <c r="I19" s="10"/>
      <c r="J19" s="10">
        <v>1189</v>
      </c>
      <c r="K19" s="10"/>
      <c r="L19" s="9"/>
      <c r="M19" s="9"/>
      <c r="N19" s="9"/>
      <c r="O19" s="3"/>
    </row>
    <row r="20" spans="1: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9"/>
      <c r="N20" s="9"/>
      <c r="O20" s="3"/>
    </row>
    <row r="21" spans="1:15">
      <c r="A21" s="36" t="s">
        <v>15</v>
      </c>
      <c r="B21" s="40" t="s">
        <v>916</v>
      </c>
      <c r="C21" s="40" t="s">
        <v>16</v>
      </c>
      <c r="D21" s="40" t="s">
        <v>16</v>
      </c>
      <c r="E21" s="40" t="s">
        <v>76</v>
      </c>
      <c r="F21" s="40" t="s">
        <v>917</v>
      </c>
      <c r="G21" s="40" t="s">
        <v>835</v>
      </c>
      <c r="H21" s="40" t="s">
        <v>916</v>
      </c>
      <c r="I21" s="40"/>
      <c r="J21" s="40"/>
      <c r="K21" s="40"/>
      <c r="L21" s="40"/>
      <c r="M21" s="40">
        <v>18857</v>
      </c>
      <c r="N21" s="40" t="s">
        <v>293</v>
      </c>
      <c r="O21" s="3"/>
    </row>
    <row r="22" spans="1:15">
      <c r="A22" s="39"/>
      <c r="B22" s="40">
        <v>47298</v>
      </c>
      <c r="C22" s="40">
        <v>55176</v>
      </c>
      <c r="D22" s="40">
        <v>3384</v>
      </c>
      <c r="E22" s="40">
        <v>1964</v>
      </c>
      <c r="F22" s="40">
        <v>650</v>
      </c>
      <c r="G22" s="38">
        <v>2721</v>
      </c>
      <c r="H22" s="38">
        <v>1070</v>
      </c>
      <c r="I22" s="38"/>
      <c r="J22" s="38"/>
      <c r="K22" s="38"/>
      <c r="L22" s="40"/>
      <c r="M22" s="38"/>
      <c r="N22" s="38"/>
      <c r="O22" s="3"/>
    </row>
    <row r="23" spans="1: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9"/>
      <c r="M23" s="9"/>
      <c r="N23" s="9"/>
      <c r="O23" s="3"/>
    </row>
    <row r="24" spans="1:15">
      <c r="A24" s="7" t="s">
        <v>18</v>
      </c>
      <c r="B24" s="8" t="s">
        <v>162</v>
      </c>
      <c r="C24" s="8" t="s">
        <v>692</v>
      </c>
      <c r="D24" s="8" t="s">
        <v>692</v>
      </c>
      <c r="E24" s="8" t="s">
        <v>692</v>
      </c>
      <c r="F24" s="8" t="s">
        <v>162</v>
      </c>
      <c r="G24" s="8" t="s">
        <v>918</v>
      </c>
      <c r="H24" s="8" t="s">
        <v>162</v>
      </c>
      <c r="I24" s="8"/>
      <c r="J24" s="8"/>
      <c r="K24" s="8"/>
      <c r="L24" s="10"/>
      <c r="M24" s="10">
        <v>17916</v>
      </c>
      <c r="N24" s="8" t="s">
        <v>693</v>
      </c>
      <c r="O24" s="3"/>
    </row>
    <row r="25" spans="1:15">
      <c r="A25" s="3"/>
      <c r="B25" s="10">
        <v>49395</v>
      </c>
      <c r="C25" s="10">
        <v>56625</v>
      </c>
      <c r="D25" s="10">
        <v>3536</v>
      </c>
      <c r="E25" s="10">
        <v>2773</v>
      </c>
      <c r="F25" s="10">
        <v>1059</v>
      </c>
      <c r="G25" s="10">
        <v>2178</v>
      </c>
      <c r="H25" s="10">
        <v>1012</v>
      </c>
      <c r="I25" s="10"/>
      <c r="J25" s="10"/>
      <c r="K25" s="10"/>
      <c r="L25" s="10"/>
      <c r="M25" s="9"/>
      <c r="N25" s="11"/>
      <c r="O25" s="3"/>
    </row>
    <row r="26" spans="1: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9"/>
      <c r="N26" s="9"/>
      <c r="O26" s="3"/>
    </row>
    <row r="27" spans="1:15">
      <c r="A27" s="36" t="s">
        <v>21</v>
      </c>
      <c r="B27" s="37" t="s">
        <v>919</v>
      </c>
      <c r="C27" s="37" t="s">
        <v>455</v>
      </c>
      <c r="D27" s="37" t="s">
        <v>455</v>
      </c>
      <c r="E27" s="37" t="s">
        <v>455</v>
      </c>
      <c r="F27" s="37" t="s">
        <v>919</v>
      </c>
      <c r="G27" s="37"/>
      <c r="H27" s="37" t="s">
        <v>919</v>
      </c>
      <c r="I27" s="37"/>
      <c r="J27" s="37"/>
      <c r="K27" s="37"/>
      <c r="L27" s="37"/>
      <c r="M27" s="40">
        <v>19926</v>
      </c>
      <c r="N27" s="37" t="s">
        <v>457</v>
      </c>
      <c r="O27" s="3"/>
    </row>
    <row r="28" spans="1:15">
      <c r="A28" s="39"/>
      <c r="B28" s="40">
        <v>45052</v>
      </c>
      <c r="C28" s="40">
        <v>56372</v>
      </c>
      <c r="D28" s="40">
        <v>3853</v>
      </c>
      <c r="E28" s="40">
        <v>2581</v>
      </c>
      <c r="F28" s="40">
        <v>855</v>
      </c>
      <c r="G28" s="38"/>
      <c r="H28" s="38">
        <v>779</v>
      </c>
      <c r="I28" s="38"/>
      <c r="J28" s="38"/>
      <c r="K28" s="38"/>
      <c r="L28" s="40"/>
      <c r="M28" s="38"/>
      <c r="N28" s="41"/>
      <c r="O28" s="3"/>
    </row>
    <row r="29" spans="1: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9"/>
      <c r="M29" s="9"/>
      <c r="N29" s="9"/>
      <c r="O29" s="3"/>
    </row>
    <row r="30" spans="1:15">
      <c r="A30" s="7" t="s">
        <v>23</v>
      </c>
      <c r="B30" s="8" t="s">
        <v>556</v>
      </c>
      <c r="C30" s="8" t="s">
        <v>378</v>
      </c>
      <c r="D30" s="8" t="s">
        <v>378</v>
      </c>
      <c r="E30" s="8" t="s">
        <v>379</v>
      </c>
      <c r="F30" s="8" t="s">
        <v>920</v>
      </c>
      <c r="G30" s="8" t="s">
        <v>921</v>
      </c>
      <c r="H30" s="8"/>
      <c r="I30" s="8"/>
      <c r="J30" s="8"/>
      <c r="K30" s="8"/>
      <c r="L30" s="8"/>
      <c r="M30" s="10">
        <v>15476</v>
      </c>
      <c r="N30" s="8" t="s">
        <v>381</v>
      </c>
      <c r="O30" s="3"/>
    </row>
    <row r="31" spans="1:15">
      <c r="A31" s="3"/>
      <c r="B31" s="10">
        <v>46941</v>
      </c>
      <c r="C31" s="10">
        <v>66975</v>
      </c>
      <c r="D31" s="10">
        <v>3422</v>
      </c>
      <c r="E31" s="10">
        <v>2960</v>
      </c>
      <c r="F31" s="10">
        <v>612</v>
      </c>
      <c r="G31" s="10">
        <v>2080</v>
      </c>
      <c r="H31" s="10"/>
      <c r="I31" s="10"/>
      <c r="J31" s="10"/>
      <c r="K31" s="10"/>
      <c r="L31" s="10"/>
      <c r="M31" s="9"/>
      <c r="N31" s="11"/>
      <c r="O31" s="3"/>
    </row>
    <row r="32" spans="1: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9"/>
      <c r="O32" s="3"/>
    </row>
    <row r="33" spans="1:15">
      <c r="A33" s="36" t="s">
        <v>24</v>
      </c>
      <c r="B33" s="37" t="s">
        <v>462</v>
      </c>
      <c r="C33" s="39"/>
      <c r="D33" s="37" t="s">
        <v>462</v>
      </c>
      <c r="E33" s="37" t="s">
        <v>922</v>
      </c>
      <c r="F33" s="37"/>
      <c r="G33" s="37"/>
      <c r="H33" s="37"/>
      <c r="I33" s="37"/>
      <c r="J33" s="37" t="s">
        <v>922</v>
      </c>
      <c r="K33" s="37"/>
      <c r="L33" s="37"/>
      <c r="M33" s="40">
        <v>28882</v>
      </c>
      <c r="N33" s="37" t="s">
        <v>463</v>
      </c>
      <c r="O33" s="3"/>
    </row>
    <row r="34" spans="1:15">
      <c r="A34" s="39"/>
      <c r="B34" s="40">
        <v>67738</v>
      </c>
      <c r="C34" s="39"/>
      <c r="D34" s="40">
        <v>1274</v>
      </c>
      <c r="E34" s="40">
        <v>4126</v>
      </c>
      <c r="F34" s="40"/>
      <c r="G34" s="38"/>
      <c r="H34" s="38"/>
      <c r="I34" s="38"/>
      <c r="J34" s="38">
        <v>1074</v>
      </c>
      <c r="K34" s="38"/>
      <c r="L34" s="40"/>
      <c r="M34" s="38"/>
      <c r="N34" s="41"/>
      <c r="O34" s="3"/>
    </row>
    <row r="35" spans="1: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9"/>
      <c r="N35" s="9"/>
      <c r="O35" s="3"/>
    </row>
    <row r="36" spans="1:15">
      <c r="A36" s="3" t="s">
        <v>26</v>
      </c>
      <c r="B36" s="10" t="s">
        <v>923</v>
      </c>
      <c r="C36" s="10" t="s">
        <v>528</v>
      </c>
      <c r="D36" s="10" t="s">
        <v>528</v>
      </c>
      <c r="E36" s="10" t="s">
        <v>528</v>
      </c>
      <c r="F36" s="10" t="s">
        <v>924</v>
      </c>
      <c r="G36" s="10"/>
      <c r="H36" s="10" t="s">
        <v>923</v>
      </c>
      <c r="I36" s="10"/>
      <c r="J36" s="10"/>
      <c r="K36" s="10"/>
      <c r="L36" s="10"/>
      <c r="M36" s="9">
        <v>14133</v>
      </c>
      <c r="N36" s="8" t="s">
        <v>614</v>
      </c>
      <c r="O36" s="3"/>
    </row>
    <row r="37" spans="1:15">
      <c r="A37" s="7"/>
      <c r="B37" s="11">
        <v>31801</v>
      </c>
      <c r="C37" s="10">
        <v>44047</v>
      </c>
      <c r="D37" s="10">
        <v>3827</v>
      </c>
      <c r="E37" s="10">
        <v>5316</v>
      </c>
      <c r="F37" s="11">
        <v>610</v>
      </c>
      <c r="G37" s="11"/>
      <c r="H37" s="11">
        <v>834</v>
      </c>
      <c r="I37" s="11"/>
      <c r="J37" s="11"/>
      <c r="K37" s="11"/>
      <c r="L37" s="11"/>
      <c r="M37" s="9"/>
      <c r="N37" s="11"/>
      <c r="O37" s="3"/>
    </row>
    <row r="38" spans="1: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9"/>
      <c r="N38" s="9"/>
      <c r="O38" s="3"/>
    </row>
    <row r="39" spans="1:15">
      <c r="A39" s="39" t="s">
        <v>28</v>
      </c>
      <c r="B39" s="40" t="s">
        <v>925</v>
      </c>
      <c r="C39" s="40"/>
      <c r="D39" s="40"/>
      <c r="E39" s="40"/>
      <c r="F39" s="40" t="s">
        <v>926</v>
      </c>
      <c r="G39" s="40"/>
      <c r="H39" s="40"/>
      <c r="I39" s="40"/>
      <c r="J39" s="40"/>
      <c r="K39" s="40"/>
      <c r="L39" s="40"/>
      <c r="M39" s="38">
        <v>26752</v>
      </c>
      <c r="N39" s="37" t="s">
        <v>768</v>
      </c>
      <c r="O39" s="3"/>
    </row>
    <row r="40" spans="1:15">
      <c r="A40" s="36"/>
      <c r="B40" s="40">
        <v>55833</v>
      </c>
      <c r="C40" s="38"/>
      <c r="D40" s="40"/>
      <c r="E40" s="40"/>
      <c r="F40" s="38">
        <v>842</v>
      </c>
      <c r="G40" s="40"/>
      <c r="H40" s="40"/>
      <c r="I40" s="40"/>
      <c r="J40" s="40"/>
      <c r="K40" s="40"/>
      <c r="L40" s="40"/>
      <c r="M40" s="38"/>
      <c r="N40" s="41"/>
      <c r="O40" s="3"/>
    </row>
    <row r="41" spans="1: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9"/>
      <c r="O41" s="3"/>
    </row>
    <row r="42" spans="1:15">
      <c r="A42" s="3" t="s">
        <v>29</v>
      </c>
      <c r="B42" s="10" t="s">
        <v>927</v>
      </c>
      <c r="C42" s="10"/>
      <c r="D42" s="10" t="s">
        <v>928</v>
      </c>
      <c r="E42" s="10"/>
      <c r="F42" s="10" t="s">
        <v>927</v>
      </c>
      <c r="G42" s="10"/>
      <c r="H42" s="10" t="s">
        <v>927</v>
      </c>
      <c r="I42" s="10"/>
      <c r="J42" s="10"/>
      <c r="K42" s="10"/>
      <c r="L42" s="10"/>
      <c r="M42" s="9">
        <v>32555</v>
      </c>
      <c r="N42" s="8" t="s">
        <v>929</v>
      </c>
      <c r="O42" s="3"/>
    </row>
    <row r="43" spans="1:15">
      <c r="A43" s="7"/>
      <c r="B43" s="10">
        <v>56779</v>
      </c>
      <c r="C43" s="9"/>
      <c r="D43" s="10">
        <v>2165</v>
      </c>
      <c r="E43" s="10"/>
      <c r="F43" s="9">
        <v>1711</v>
      </c>
      <c r="G43" s="9"/>
      <c r="H43" s="9">
        <v>1473</v>
      </c>
      <c r="I43" s="9"/>
      <c r="J43" s="9"/>
      <c r="K43" s="9"/>
      <c r="L43" s="10"/>
      <c r="M43" s="9"/>
      <c r="N43" s="11"/>
      <c r="O43" s="3"/>
    </row>
    <row r="44" spans="1:15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9"/>
      <c r="N44" s="11"/>
      <c r="O44" s="3"/>
    </row>
    <row r="45" spans="1:15">
      <c r="A45" s="39" t="s">
        <v>32</v>
      </c>
      <c r="B45" s="37" t="s">
        <v>930</v>
      </c>
      <c r="C45" s="37" t="s">
        <v>931</v>
      </c>
      <c r="D45" s="37" t="s">
        <v>931</v>
      </c>
      <c r="E45" s="37"/>
      <c r="F45" s="40"/>
      <c r="G45" s="37"/>
      <c r="H45" s="37"/>
      <c r="I45" s="37"/>
      <c r="J45" s="37"/>
      <c r="K45" s="37"/>
      <c r="L45" s="37"/>
      <c r="M45" s="38">
        <v>24873</v>
      </c>
      <c r="N45" s="40" t="s">
        <v>617</v>
      </c>
      <c r="O45" s="3"/>
    </row>
    <row r="46" spans="1:15">
      <c r="A46" s="39"/>
      <c r="B46" s="40">
        <v>48550</v>
      </c>
      <c r="C46" s="38">
        <v>13326</v>
      </c>
      <c r="D46" s="40">
        <v>1447</v>
      </c>
      <c r="E46" s="40"/>
      <c r="F46" s="38"/>
      <c r="G46" s="38"/>
      <c r="H46" s="38"/>
      <c r="I46" s="38"/>
      <c r="J46" s="38"/>
      <c r="K46" s="38"/>
      <c r="L46" s="38"/>
      <c r="M46" s="38"/>
      <c r="N46" s="41"/>
      <c r="O46" s="3"/>
    </row>
    <row r="47" spans="1:15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9"/>
      <c r="N47" s="11"/>
      <c r="O47" s="3"/>
    </row>
    <row r="48" spans="1:15">
      <c r="A48" s="3" t="s">
        <v>33</v>
      </c>
      <c r="B48" s="8"/>
      <c r="C48" s="8" t="s">
        <v>620</v>
      </c>
      <c r="D48" s="8" t="s">
        <v>620</v>
      </c>
      <c r="E48" s="8" t="s">
        <v>621</v>
      </c>
      <c r="F48" s="8"/>
      <c r="G48" s="8"/>
      <c r="H48" s="8"/>
      <c r="I48" s="8"/>
      <c r="J48" s="8" t="s">
        <v>894</v>
      </c>
      <c r="K48" s="8"/>
      <c r="L48" s="10"/>
      <c r="M48" s="9">
        <v>43753</v>
      </c>
      <c r="N48" s="10" t="s">
        <v>701</v>
      </c>
      <c r="O48" s="3"/>
    </row>
    <row r="49" spans="1:15">
      <c r="A49" s="3"/>
      <c r="B49" s="9"/>
      <c r="C49" s="9">
        <v>27280</v>
      </c>
      <c r="D49" s="10">
        <v>3171</v>
      </c>
      <c r="E49" s="10">
        <v>2684</v>
      </c>
      <c r="F49" s="9"/>
      <c r="G49" s="9"/>
      <c r="H49" s="9"/>
      <c r="I49" s="9"/>
      <c r="J49" s="9">
        <v>1903</v>
      </c>
      <c r="K49" s="9"/>
      <c r="L49" s="10"/>
      <c r="M49" s="9"/>
      <c r="N49" s="11"/>
      <c r="O49" s="3"/>
    </row>
    <row r="50" spans="1: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1"/>
      <c r="O50" s="3"/>
    </row>
    <row r="51" spans="1:15">
      <c r="A51" s="36" t="s">
        <v>35</v>
      </c>
      <c r="B51" s="37" t="s">
        <v>36</v>
      </c>
      <c r="C51" s="37"/>
      <c r="D51" s="37"/>
      <c r="E51" s="37"/>
      <c r="F51" s="37" t="s">
        <v>36</v>
      </c>
      <c r="G51" s="37"/>
      <c r="H51" s="37" t="s">
        <v>120</v>
      </c>
      <c r="I51" s="37"/>
      <c r="J51" s="37" t="s">
        <v>1007</v>
      </c>
      <c r="K51" s="37"/>
      <c r="L51" s="37"/>
      <c r="M51" s="38">
        <v>23385</v>
      </c>
      <c r="N51" s="37" t="s">
        <v>77</v>
      </c>
      <c r="O51" s="3"/>
    </row>
    <row r="52" spans="1:15">
      <c r="A52" s="39"/>
      <c r="B52" s="40">
        <v>35647</v>
      </c>
      <c r="C52" s="38"/>
      <c r="D52" s="38"/>
      <c r="E52" s="38"/>
      <c r="F52" s="38">
        <v>642</v>
      </c>
      <c r="G52" s="38"/>
      <c r="H52" s="38">
        <v>624</v>
      </c>
      <c r="I52" s="38"/>
      <c r="J52" s="38">
        <v>783</v>
      </c>
      <c r="K52" s="38"/>
      <c r="L52" s="40"/>
      <c r="M52" s="38"/>
      <c r="N52" s="38"/>
      <c r="O52" s="3"/>
    </row>
    <row r="53" spans="1: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9"/>
      <c r="N53" s="11"/>
      <c r="O53" s="3"/>
    </row>
    <row r="54" spans="1:15">
      <c r="A54" s="7" t="s">
        <v>38</v>
      </c>
      <c r="B54" s="8" t="s">
        <v>846</v>
      </c>
      <c r="C54" s="8"/>
      <c r="D54" s="8" t="s">
        <v>932</v>
      </c>
      <c r="E54" s="8" t="s">
        <v>845</v>
      </c>
      <c r="F54" s="8" t="s">
        <v>846</v>
      </c>
      <c r="G54" s="8"/>
      <c r="H54" s="8"/>
      <c r="I54" s="8"/>
      <c r="J54" s="8"/>
      <c r="K54" s="8"/>
      <c r="L54" s="8"/>
      <c r="M54" s="9">
        <v>19980</v>
      </c>
      <c r="N54" s="8" t="s">
        <v>933</v>
      </c>
      <c r="O54" s="3"/>
    </row>
    <row r="55" spans="1:15">
      <c r="A55" s="3"/>
      <c r="B55" s="10">
        <v>42586</v>
      </c>
      <c r="C55" s="9"/>
      <c r="D55" s="10">
        <v>473</v>
      </c>
      <c r="E55" s="10">
        <v>722</v>
      </c>
      <c r="F55" s="9">
        <v>892</v>
      </c>
      <c r="G55" s="11"/>
      <c r="H55" s="11"/>
      <c r="I55" s="11"/>
      <c r="J55" s="11"/>
      <c r="K55" s="11"/>
      <c r="L55" s="11"/>
      <c r="M55" s="9"/>
      <c r="N55" s="9"/>
      <c r="O55" s="3"/>
    </row>
    <row r="56" spans="1: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9"/>
      <c r="N56" s="11"/>
      <c r="O56" s="3"/>
    </row>
    <row r="57" spans="1:15">
      <c r="A57" s="36" t="s">
        <v>41</v>
      </c>
      <c r="B57" s="37" t="s">
        <v>534</v>
      </c>
      <c r="C57" s="37" t="s">
        <v>432</v>
      </c>
      <c r="D57" s="37"/>
      <c r="E57" s="37"/>
      <c r="F57" s="37"/>
      <c r="G57" s="37"/>
      <c r="H57" s="37" t="s">
        <v>121</v>
      </c>
      <c r="I57" s="37"/>
      <c r="J57" s="37"/>
      <c r="K57" s="37"/>
      <c r="L57" s="40" t="s">
        <v>934</v>
      </c>
      <c r="M57" s="38">
        <v>26916</v>
      </c>
      <c r="N57" s="37" t="s">
        <v>42</v>
      </c>
      <c r="O57" s="3"/>
    </row>
    <row r="58" spans="1:15">
      <c r="A58" s="39"/>
      <c r="B58" s="40">
        <v>62076</v>
      </c>
      <c r="C58" s="40">
        <v>3198</v>
      </c>
      <c r="D58" s="38"/>
      <c r="E58" s="38"/>
      <c r="F58" s="40"/>
      <c r="G58" s="38"/>
      <c r="H58" s="38">
        <v>4406</v>
      </c>
      <c r="I58" s="38"/>
      <c r="J58" s="38"/>
      <c r="K58" s="38"/>
      <c r="L58" s="40">
        <v>869</v>
      </c>
      <c r="M58" s="40"/>
      <c r="N58" s="38"/>
      <c r="O58" s="3"/>
    </row>
    <row r="59" spans="1: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9"/>
      <c r="N59" s="9"/>
      <c r="O59" s="3"/>
    </row>
    <row r="60" spans="1:15">
      <c r="A60" s="3" t="s">
        <v>45</v>
      </c>
      <c r="B60" s="10" t="s">
        <v>385</v>
      </c>
      <c r="C60" s="10" t="s">
        <v>385</v>
      </c>
      <c r="D60" s="10"/>
      <c r="E60" s="10"/>
      <c r="F60" s="10" t="s">
        <v>471</v>
      </c>
      <c r="G60" s="10"/>
      <c r="H60" s="10"/>
      <c r="I60" s="10"/>
      <c r="J60" s="10"/>
      <c r="K60" s="10"/>
      <c r="L60" s="10"/>
      <c r="M60" s="9">
        <v>26564</v>
      </c>
      <c r="N60" s="8" t="s">
        <v>388</v>
      </c>
      <c r="O60" s="3"/>
    </row>
    <row r="61" spans="1:15">
      <c r="A61" s="7"/>
      <c r="B61" s="10">
        <v>58585</v>
      </c>
      <c r="C61" s="9">
        <v>2731</v>
      </c>
      <c r="D61" s="10"/>
      <c r="E61" s="10"/>
      <c r="F61" s="10">
        <v>650</v>
      </c>
      <c r="G61" s="9"/>
      <c r="H61" s="9"/>
      <c r="I61" s="9"/>
      <c r="J61" s="9"/>
      <c r="K61" s="9"/>
      <c r="L61" s="11"/>
      <c r="M61" s="9"/>
      <c r="N61" s="11"/>
      <c r="O61" s="3"/>
    </row>
    <row r="62" spans="1: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9"/>
      <c r="M62" s="9"/>
      <c r="N62" s="9"/>
      <c r="O62" s="3"/>
    </row>
    <row r="63" spans="1:15">
      <c r="A63" s="39" t="s">
        <v>47</v>
      </c>
      <c r="B63" s="40" t="s">
        <v>935</v>
      </c>
      <c r="C63" s="40" t="s">
        <v>936</v>
      </c>
      <c r="D63" s="40" t="s">
        <v>937</v>
      </c>
      <c r="E63" s="40"/>
      <c r="F63" s="40"/>
      <c r="G63" s="40"/>
      <c r="H63" s="40"/>
      <c r="I63" s="40"/>
      <c r="J63" s="40"/>
      <c r="K63" s="40"/>
      <c r="L63" s="40" t="s">
        <v>938</v>
      </c>
      <c r="M63" s="38">
        <v>18653</v>
      </c>
      <c r="N63" s="37" t="s">
        <v>939</v>
      </c>
      <c r="O63" s="3"/>
    </row>
    <row r="64" spans="1:15">
      <c r="A64" s="36"/>
      <c r="B64" s="40">
        <v>58765</v>
      </c>
      <c r="C64" s="40">
        <v>3061</v>
      </c>
      <c r="D64" s="40">
        <v>755</v>
      </c>
      <c r="E64" s="40"/>
      <c r="F64" s="38"/>
      <c r="G64" s="38"/>
      <c r="H64" s="38"/>
      <c r="I64" s="38"/>
      <c r="J64" s="38"/>
      <c r="K64" s="38"/>
      <c r="L64" s="40">
        <v>1604</v>
      </c>
      <c r="M64" s="38"/>
      <c r="N64" s="41"/>
      <c r="O64" s="3"/>
    </row>
    <row r="65" spans="1:1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41"/>
      <c r="M65" s="38"/>
      <c r="N65" s="38"/>
      <c r="O65" s="3"/>
    </row>
    <row r="66" spans="1:15" ht="17.25">
      <c r="A66" s="39" t="s">
        <v>1003</v>
      </c>
      <c r="B66" s="42" t="s">
        <v>492</v>
      </c>
      <c r="C66" s="42" t="s">
        <v>940</v>
      </c>
      <c r="D66" s="42" t="s">
        <v>940</v>
      </c>
      <c r="E66" s="42" t="s">
        <v>492</v>
      </c>
      <c r="F66" s="42" t="s">
        <v>492</v>
      </c>
      <c r="G66" s="39"/>
      <c r="H66" s="42" t="s">
        <v>492</v>
      </c>
      <c r="I66" s="39"/>
      <c r="J66" s="39"/>
      <c r="K66" s="39"/>
      <c r="L66" s="37"/>
      <c r="M66" s="38">
        <v>104</v>
      </c>
      <c r="N66" s="40" t="s">
        <v>773</v>
      </c>
      <c r="O66" s="3"/>
    </row>
    <row r="67" spans="1:15">
      <c r="A67" s="39"/>
      <c r="B67" s="38">
        <v>3489</v>
      </c>
      <c r="C67" s="38">
        <v>880</v>
      </c>
      <c r="D67" s="38">
        <v>209</v>
      </c>
      <c r="E67" s="38">
        <v>173</v>
      </c>
      <c r="F67" s="38">
        <v>117</v>
      </c>
      <c r="G67" s="38"/>
      <c r="H67" s="38">
        <v>435</v>
      </c>
      <c r="I67" s="38"/>
      <c r="J67" s="38"/>
      <c r="K67" s="38"/>
      <c r="L67" s="41"/>
      <c r="M67" s="38"/>
      <c r="N67" s="38"/>
      <c r="O67" s="3"/>
    </row>
    <row r="68" spans="1: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11"/>
      <c r="M68" s="9"/>
      <c r="N68" s="9"/>
      <c r="O68" s="3"/>
    </row>
    <row r="69" spans="1:15">
      <c r="A69" s="3" t="s">
        <v>49</v>
      </c>
      <c r="B69" s="10" t="s">
        <v>941</v>
      </c>
      <c r="C69" s="10"/>
      <c r="D69" s="10" t="s">
        <v>942</v>
      </c>
      <c r="E69" s="10"/>
      <c r="F69" s="10" t="s">
        <v>941</v>
      </c>
      <c r="G69" s="10"/>
      <c r="H69" s="10"/>
      <c r="I69" s="10"/>
      <c r="J69" s="10"/>
      <c r="K69" s="10"/>
      <c r="L69" s="10"/>
      <c r="M69" s="9">
        <v>37560</v>
      </c>
      <c r="N69" s="8" t="s">
        <v>545</v>
      </c>
      <c r="O69" s="3"/>
    </row>
    <row r="70" spans="1:15">
      <c r="A70" s="7"/>
      <c r="B70" s="10">
        <v>49683</v>
      </c>
      <c r="C70" s="10"/>
      <c r="D70" s="10">
        <v>3004</v>
      </c>
      <c r="E70" s="10"/>
      <c r="F70" s="10">
        <v>1309</v>
      </c>
      <c r="G70" s="9"/>
      <c r="H70" s="9"/>
      <c r="I70" s="9"/>
      <c r="J70" s="9"/>
      <c r="K70" s="9"/>
      <c r="L70" s="10"/>
      <c r="M70" s="9"/>
      <c r="N70" s="11"/>
      <c r="O70" s="3"/>
    </row>
    <row r="71" spans="1:15">
      <c r="A71" s="7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11"/>
      <c r="O71" s="3"/>
    </row>
    <row r="72" spans="1:15">
      <c r="A72" s="39" t="s">
        <v>52</v>
      </c>
      <c r="B72" s="37" t="s">
        <v>943</v>
      </c>
      <c r="C72" s="37" t="s">
        <v>944</v>
      </c>
      <c r="D72" s="37" t="s">
        <v>945</v>
      </c>
      <c r="E72" s="37" t="s">
        <v>944</v>
      </c>
      <c r="F72" s="37" t="s">
        <v>943</v>
      </c>
      <c r="G72" s="37"/>
      <c r="H72" s="37" t="s">
        <v>852</v>
      </c>
      <c r="I72" s="37"/>
      <c r="J72" s="37"/>
      <c r="K72" s="37"/>
      <c r="L72" s="37"/>
      <c r="M72" s="38">
        <v>22276</v>
      </c>
      <c r="N72" s="40" t="s">
        <v>854</v>
      </c>
      <c r="O72" s="3"/>
    </row>
    <row r="73" spans="1:15">
      <c r="A73" s="39"/>
      <c r="B73" s="40">
        <v>39899</v>
      </c>
      <c r="C73" s="40">
        <v>9257</v>
      </c>
      <c r="D73" s="40">
        <v>1004</v>
      </c>
      <c r="E73" s="40">
        <v>374</v>
      </c>
      <c r="F73" s="40">
        <v>990</v>
      </c>
      <c r="G73" s="38"/>
      <c r="H73" s="38">
        <v>1275</v>
      </c>
      <c r="I73" s="38"/>
      <c r="J73" s="38"/>
      <c r="K73" s="38"/>
      <c r="L73" s="38"/>
      <c r="M73" s="38"/>
      <c r="N73" s="41"/>
      <c r="O73" s="3"/>
    </row>
    <row r="74" spans="1: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9"/>
      <c r="N74" s="11"/>
      <c r="O74" s="3"/>
    </row>
    <row r="75" spans="1:15">
      <c r="A75" s="7" t="s">
        <v>54</v>
      </c>
      <c r="B75" s="8" t="s">
        <v>946</v>
      </c>
      <c r="C75" s="8" t="s">
        <v>490</v>
      </c>
      <c r="D75" s="8" t="s">
        <v>490</v>
      </c>
      <c r="E75" s="8" t="s">
        <v>851</v>
      </c>
      <c r="F75" s="8" t="s">
        <v>947</v>
      </c>
      <c r="G75" s="8" t="s">
        <v>490</v>
      </c>
      <c r="H75" s="8" t="s">
        <v>851</v>
      </c>
      <c r="I75" s="8"/>
      <c r="J75" s="8"/>
      <c r="K75" s="8"/>
      <c r="L75" s="8"/>
      <c r="M75" s="9">
        <v>12885</v>
      </c>
      <c r="N75" s="8" t="s">
        <v>948</v>
      </c>
      <c r="O75" s="3"/>
    </row>
    <row r="76" spans="1:15">
      <c r="A76" s="3"/>
      <c r="B76" s="10">
        <v>42198</v>
      </c>
      <c r="C76" s="10">
        <v>24111</v>
      </c>
      <c r="D76" s="10">
        <v>2609</v>
      </c>
      <c r="E76" s="10">
        <v>1540</v>
      </c>
      <c r="F76" s="9">
        <v>464</v>
      </c>
      <c r="G76" s="9">
        <v>1001</v>
      </c>
      <c r="H76" s="9">
        <v>1339</v>
      </c>
      <c r="I76" s="9"/>
      <c r="J76" s="9"/>
      <c r="K76" s="9"/>
      <c r="L76" s="9"/>
      <c r="M76" s="9"/>
      <c r="N76" s="9"/>
      <c r="O76" s="3"/>
    </row>
    <row r="77" spans="1: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9"/>
      <c r="N77" s="11"/>
      <c r="O77" s="3"/>
    </row>
    <row r="78" spans="1:15">
      <c r="A78" s="36" t="s">
        <v>56</v>
      </c>
      <c r="B78" s="37" t="s">
        <v>777</v>
      </c>
      <c r="C78" s="37" t="s">
        <v>777</v>
      </c>
      <c r="D78" s="37" t="s">
        <v>776</v>
      </c>
      <c r="E78" s="37" t="s">
        <v>949</v>
      </c>
      <c r="F78" s="37"/>
      <c r="G78" s="37"/>
      <c r="H78" s="37" t="s">
        <v>949</v>
      </c>
      <c r="I78" s="37"/>
      <c r="J78" s="37" t="s">
        <v>949</v>
      </c>
      <c r="K78" s="37"/>
      <c r="L78" s="37"/>
      <c r="M78" s="38">
        <v>21488</v>
      </c>
      <c r="N78" s="37" t="s">
        <v>778</v>
      </c>
      <c r="O78" s="3"/>
    </row>
    <row r="79" spans="1:15">
      <c r="A79" s="39"/>
      <c r="B79" s="40">
        <v>37684</v>
      </c>
      <c r="C79" s="40">
        <v>48077</v>
      </c>
      <c r="D79" s="40">
        <v>5349</v>
      </c>
      <c r="E79" s="40">
        <v>1822</v>
      </c>
      <c r="F79" s="40"/>
      <c r="G79" s="40"/>
      <c r="H79" s="40">
        <v>838</v>
      </c>
      <c r="I79" s="40"/>
      <c r="J79" s="40">
        <v>954</v>
      </c>
      <c r="K79" s="40"/>
      <c r="L79" s="38"/>
      <c r="M79" s="38"/>
      <c r="N79" s="38"/>
      <c r="O79" s="3"/>
    </row>
    <row r="80" spans="1: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>
      <c r="A81" s="7" t="s">
        <v>58</v>
      </c>
      <c r="B81" s="8" t="s">
        <v>710</v>
      </c>
      <c r="C81" s="8"/>
      <c r="D81" s="8" t="s">
        <v>706</v>
      </c>
      <c r="E81" s="8"/>
      <c r="F81" s="8" t="s">
        <v>710</v>
      </c>
      <c r="G81" s="8"/>
      <c r="H81" s="8" t="s">
        <v>818</v>
      </c>
      <c r="I81" s="8"/>
      <c r="J81" s="8" t="s">
        <v>1008</v>
      </c>
      <c r="K81" s="8"/>
      <c r="L81" s="8"/>
      <c r="M81" s="9">
        <v>32641</v>
      </c>
      <c r="N81" s="8" t="s">
        <v>711</v>
      </c>
      <c r="O81" s="3"/>
    </row>
    <row r="82" spans="1:15">
      <c r="A82" s="3"/>
      <c r="B82" s="10">
        <v>48706</v>
      </c>
      <c r="C82" s="10"/>
      <c r="D82" s="10">
        <v>1049</v>
      </c>
      <c r="E82" s="10"/>
      <c r="F82" s="10">
        <v>1300</v>
      </c>
      <c r="G82" s="9"/>
      <c r="H82" s="9">
        <v>2755</v>
      </c>
      <c r="I82" s="9"/>
      <c r="J82" s="9">
        <v>4078</v>
      </c>
      <c r="K82" s="9"/>
      <c r="L82" s="9"/>
      <c r="M82" s="9"/>
      <c r="N82" s="9"/>
      <c r="O82" s="3"/>
    </row>
    <row r="83" spans="1: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>
      <c r="A84" s="36" t="s">
        <v>59</v>
      </c>
      <c r="B84" s="37" t="s">
        <v>78</v>
      </c>
      <c r="C84" s="37" t="s">
        <v>950</v>
      </c>
      <c r="D84" s="37"/>
      <c r="E84" s="37" t="s">
        <v>479</v>
      </c>
      <c r="F84" s="37" t="s">
        <v>951</v>
      </c>
      <c r="G84" s="37"/>
      <c r="H84" s="37" t="s">
        <v>78</v>
      </c>
      <c r="I84" s="37"/>
      <c r="J84" s="37" t="s">
        <v>78</v>
      </c>
      <c r="K84" s="37"/>
      <c r="L84" s="37"/>
      <c r="M84" s="38">
        <v>19653</v>
      </c>
      <c r="N84" s="37" t="s">
        <v>952</v>
      </c>
      <c r="O84" s="3"/>
    </row>
    <row r="85" spans="1:15">
      <c r="A85" s="39"/>
      <c r="B85" s="40">
        <v>59788</v>
      </c>
      <c r="C85" s="40">
        <v>54989</v>
      </c>
      <c r="D85" s="38"/>
      <c r="E85" s="43">
        <v>5812</v>
      </c>
      <c r="F85" s="48">
        <v>2930</v>
      </c>
      <c r="G85" s="48"/>
      <c r="H85" s="48">
        <v>1648</v>
      </c>
      <c r="I85" s="48"/>
      <c r="J85" s="48">
        <v>2095</v>
      </c>
      <c r="K85" s="48"/>
      <c r="L85" s="43"/>
      <c r="M85" s="43"/>
      <c r="N85" s="43"/>
      <c r="O85" s="3"/>
    </row>
    <row r="86" spans="1:15">
      <c r="A86" s="39"/>
      <c r="B86" s="40"/>
      <c r="C86" s="40"/>
      <c r="D86" s="38"/>
      <c r="E86" s="43"/>
      <c r="F86" s="48"/>
      <c r="G86" s="48"/>
      <c r="H86" s="48"/>
      <c r="I86" s="48"/>
      <c r="J86" s="48"/>
      <c r="K86" s="48"/>
      <c r="L86" s="43"/>
      <c r="M86" s="43"/>
      <c r="N86" s="43"/>
      <c r="O86" s="3"/>
    </row>
    <row r="87" spans="1:15" ht="17.25">
      <c r="A87" s="39" t="s">
        <v>362</v>
      </c>
      <c r="B87" s="42" t="s">
        <v>78</v>
      </c>
      <c r="C87" s="42" t="s">
        <v>953</v>
      </c>
      <c r="D87" s="39"/>
      <c r="E87" s="42" t="s">
        <v>953</v>
      </c>
      <c r="F87" s="42" t="s">
        <v>953</v>
      </c>
      <c r="G87" s="42"/>
      <c r="H87" s="42" t="s">
        <v>78</v>
      </c>
      <c r="I87" s="42"/>
      <c r="J87" s="42" t="s">
        <v>78</v>
      </c>
      <c r="K87" s="42" t="s">
        <v>1009</v>
      </c>
      <c r="L87" s="42"/>
      <c r="M87" s="39">
        <v>438</v>
      </c>
      <c r="N87" s="40" t="s">
        <v>79</v>
      </c>
      <c r="O87" s="3"/>
    </row>
    <row r="88" spans="1:15">
      <c r="A88" s="39"/>
      <c r="B88" s="38">
        <v>24744</v>
      </c>
      <c r="C88" s="38">
        <v>16368</v>
      </c>
      <c r="D88" s="38"/>
      <c r="E88" s="38">
        <v>1386</v>
      </c>
      <c r="F88" s="38">
        <v>719</v>
      </c>
      <c r="G88" s="38"/>
      <c r="H88" s="38">
        <v>937</v>
      </c>
      <c r="I88" s="38"/>
      <c r="J88" s="38">
        <v>984</v>
      </c>
      <c r="K88" s="38">
        <v>113</v>
      </c>
      <c r="L88" s="38"/>
      <c r="M88" s="38"/>
      <c r="N88" s="38"/>
      <c r="O88" s="3"/>
    </row>
    <row r="89" spans="1: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9"/>
      <c r="O89" s="3"/>
    </row>
    <row r="90" spans="1:15">
      <c r="A90" s="7" t="s">
        <v>63</v>
      </c>
      <c r="B90" s="8" t="s">
        <v>547</v>
      </c>
      <c r="C90" s="8" t="s">
        <v>954</v>
      </c>
      <c r="D90" s="8"/>
      <c r="E90" s="8" t="s">
        <v>955</v>
      </c>
      <c r="F90" s="8" t="s">
        <v>547</v>
      </c>
      <c r="G90" s="8"/>
      <c r="H90" s="8" t="s">
        <v>547</v>
      </c>
      <c r="I90" s="8"/>
      <c r="J90" s="8"/>
      <c r="K90" s="8"/>
      <c r="L90" s="8"/>
      <c r="M90" s="9">
        <v>22421</v>
      </c>
      <c r="N90" s="8" t="s">
        <v>549</v>
      </c>
      <c r="O90" s="3"/>
    </row>
    <row r="91" spans="1:15">
      <c r="A91" s="3"/>
      <c r="B91" s="10">
        <v>88041</v>
      </c>
      <c r="C91" s="9">
        <v>16021</v>
      </c>
      <c r="D91" s="9"/>
      <c r="E91" s="9">
        <v>2113</v>
      </c>
      <c r="F91" s="10">
        <v>2713</v>
      </c>
      <c r="G91" s="11"/>
      <c r="H91" s="11">
        <v>4552</v>
      </c>
      <c r="I91" s="11"/>
      <c r="J91" s="11"/>
      <c r="K91" s="11"/>
      <c r="L91" s="11"/>
      <c r="M91" s="9"/>
      <c r="N91" s="9"/>
      <c r="O91" s="3"/>
    </row>
    <row r="92" spans="1: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9"/>
      <c r="N92" s="11"/>
      <c r="O92" s="3"/>
    </row>
    <row r="93" spans="1:15">
      <c r="A93" s="36" t="s">
        <v>65</v>
      </c>
      <c r="B93" s="37" t="s">
        <v>859</v>
      </c>
      <c r="C93" s="37" t="s">
        <v>780</v>
      </c>
      <c r="D93" s="37"/>
      <c r="E93" s="37" t="s">
        <v>780</v>
      </c>
      <c r="F93" s="37" t="s">
        <v>859</v>
      </c>
      <c r="G93" s="37"/>
      <c r="H93" s="37" t="s">
        <v>897</v>
      </c>
      <c r="I93" s="37" t="s">
        <v>352</v>
      </c>
      <c r="J93" s="37" t="s">
        <v>897</v>
      </c>
      <c r="K93" s="37"/>
      <c r="L93" s="40"/>
      <c r="M93" s="38">
        <v>19135</v>
      </c>
      <c r="N93" s="37" t="s">
        <v>860</v>
      </c>
      <c r="O93" s="3"/>
    </row>
    <row r="94" spans="1:15">
      <c r="A94" s="39"/>
      <c r="B94" s="40">
        <v>53210</v>
      </c>
      <c r="C94" s="38">
        <v>4701</v>
      </c>
      <c r="D94" s="40"/>
      <c r="E94" s="40">
        <v>543</v>
      </c>
      <c r="F94" s="40">
        <v>805</v>
      </c>
      <c r="G94" s="38"/>
      <c r="H94" s="38">
        <v>963</v>
      </c>
      <c r="I94" s="38">
        <v>234</v>
      </c>
      <c r="J94" s="38">
        <v>1443</v>
      </c>
      <c r="K94" s="38"/>
      <c r="L94" s="40"/>
      <c r="M94" s="38"/>
      <c r="N94" s="38"/>
      <c r="O94" s="3"/>
    </row>
    <row r="95" spans="1: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9"/>
      <c r="N95" s="11"/>
      <c r="O95" s="3"/>
    </row>
    <row r="96" spans="1:15">
      <c r="A96" s="3" t="s">
        <v>67</v>
      </c>
      <c r="B96" s="10" t="s">
        <v>956</v>
      </c>
      <c r="C96" s="10" t="s">
        <v>716</v>
      </c>
      <c r="D96" s="10"/>
      <c r="E96" s="10"/>
      <c r="F96" s="10" t="s">
        <v>956</v>
      </c>
      <c r="G96" s="10"/>
      <c r="H96" s="10" t="s">
        <v>784</v>
      </c>
      <c r="I96" s="10" t="s">
        <v>716</v>
      </c>
      <c r="J96" s="10"/>
      <c r="K96" s="10"/>
      <c r="L96" s="10"/>
      <c r="M96" s="9">
        <v>17260</v>
      </c>
      <c r="N96" s="8" t="s">
        <v>785</v>
      </c>
      <c r="O96" s="3"/>
    </row>
    <row r="97" spans="1:15">
      <c r="A97" s="3"/>
      <c r="B97" s="10">
        <v>74702</v>
      </c>
      <c r="C97" s="9">
        <v>2924</v>
      </c>
      <c r="D97" s="9"/>
      <c r="E97" s="9"/>
      <c r="F97" s="10">
        <v>1092</v>
      </c>
      <c r="G97" s="9"/>
      <c r="H97" s="9">
        <v>2059</v>
      </c>
      <c r="I97" s="9">
        <v>328</v>
      </c>
      <c r="J97" s="9"/>
      <c r="K97" s="9"/>
      <c r="L97" s="9"/>
      <c r="M97" s="9"/>
      <c r="N97" s="9"/>
      <c r="O97" s="3"/>
    </row>
    <row r="98" spans="1: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9"/>
      <c r="N98" s="9"/>
      <c r="O98" s="3"/>
    </row>
    <row r="99" spans="1:15">
      <c r="A99" s="39" t="s">
        <v>68</v>
      </c>
      <c r="B99" s="40" t="s">
        <v>634</v>
      </c>
      <c r="C99" s="40" t="s">
        <v>957</v>
      </c>
      <c r="D99" s="40" t="s">
        <v>958</v>
      </c>
      <c r="E99" s="40" t="s">
        <v>957</v>
      </c>
      <c r="F99" s="40" t="s">
        <v>924</v>
      </c>
      <c r="G99" s="40"/>
      <c r="H99" s="40" t="s">
        <v>634</v>
      </c>
      <c r="I99" s="40"/>
      <c r="J99" s="40"/>
      <c r="K99" s="40"/>
      <c r="L99" s="40"/>
      <c r="M99" s="38">
        <v>26246</v>
      </c>
      <c r="N99" s="40" t="s">
        <v>636</v>
      </c>
      <c r="O99" s="3"/>
    </row>
    <row r="100" spans="1:15">
      <c r="A100" s="39"/>
      <c r="B100" s="40">
        <v>86176</v>
      </c>
      <c r="C100" s="38">
        <v>13890</v>
      </c>
      <c r="D100" s="40">
        <v>680</v>
      </c>
      <c r="E100" s="40">
        <v>626</v>
      </c>
      <c r="F100" s="40">
        <v>1904</v>
      </c>
      <c r="G100" s="38"/>
      <c r="H100" s="38">
        <v>4411</v>
      </c>
      <c r="I100" s="38"/>
      <c r="J100" s="38"/>
      <c r="K100" s="38"/>
      <c r="L100" s="38"/>
      <c r="M100" s="38"/>
      <c r="N100" s="38"/>
      <c r="O100" s="3"/>
    </row>
    <row r="101" spans="1: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11"/>
      <c r="M101" s="9"/>
      <c r="N101" s="9"/>
      <c r="O101" s="3"/>
    </row>
    <row r="102" spans="1:15">
      <c r="A102" s="3" t="s">
        <v>69</v>
      </c>
      <c r="B102" s="10" t="s">
        <v>959</v>
      </c>
      <c r="C102" s="10" t="s">
        <v>960</v>
      </c>
      <c r="D102" s="10" t="s">
        <v>823</v>
      </c>
      <c r="E102" s="10"/>
      <c r="F102" s="10" t="s">
        <v>961</v>
      </c>
      <c r="G102" s="10"/>
      <c r="H102" s="10"/>
      <c r="I102" s="10"/>
      <c r="J102" s="10"/>
      <c r="K102" s="10"/>
      <c r="L102" s="10"/>
      <c r="M102" s="9">
        <v>15654</v>
      </c>
      <c r="N102" s="10" t="s">
        <v>720</v>
      </c>
      <c r="O102" s="3"/>
    </row>
    <row r="103" spans="1:15">
      <c r="A103" s="3"/>
      <c r="B103" s="10">
        <v>42474</v>
      </c>
      <c r="C103" s="10">
        <v>1901</v>
      </c>
      <c r="D103" s="10">
        <v>314</v>
      </c>
      <c r="E103" s="10"/>
      <c r="F103" s="10">
        <v>628</v>
      </c>
      <c r="G103" s="9"/>
      <c r="H103" s="9"/>
      <c r="I103" s="9"/>
      <c r="J103" s="9"/>
      <c r="K103" s="9"/>
      <c r="L103" s="9"/>
      <c r="M103" s="9"/>
      <c r="N103" s="9"/>
      <c r="O103" s="3"/>
    </row>
    <row r="104" spans="1: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9"/>
      <c r="M104" s="9"/>
      <c r="N104" s="9"/>
      <c r="O104" s="3"/>
    </row>
    <row r="105" spans="1:15">
      <c r="A105" s="39" t="s">
        <v>70</v>
      </c>
      <c r="B105" s="40" t="s">
        <v>638</v>
      </c>
      <c r="C105" s="40" t="s">
        <v>962</v>
      </c>
      <c r="D105" s="40" t="s">
        <v>962</v>
      </c>
      <c r="E105" s="40"/>
      <c r="F105" s="40" t="s">
        <v>963</v>
      </c>
      <c r="G105" s="40"/>
      <c r="H105" s="40" t="s">
        <v>963</v>
      </c>
      <c r="I105" s="40"/>
      <c r="J105" s="40"/>
      <c r="K105" s="40"/>
      <c r="L105" s="40"/>
      <c r="M105" s="38">
        <v>22689</v>
      </c>
      <c r="N105" s="40" t="s">
        <v>639</v>
      </c>
      <c r="O105" s="3"/>
    </row>
    <row r="106" spans="1:15">
      <c r="A106" s="39"/>
      <c r="B106" s="40">
        <v>53458</v>
      </c>
      <c r="C106" s="40">
        <v>2336</v>
      </c>
      <c r="D106" s="40">
        <v>420</v>
      </c>
      <c r="E106" s="40"/>
      <c r="F106" s="40">
        <v>1647</v>
      </c>
      <c r="G106" s="38"/>
      <c r="H106" s="38">
        <v>1214</v>
      </c>
      <c r="I106" s="38"/>
      <c r="J106" s="38"/>
      <c r="K106" s="38"/>
      <c r="L106" s="38"/>
      <c r="M106" s="38"/>
      <c r="N106" s="38"/>
      <c r="O106" s="3"/>
    </row>
    <row r="107" spans="1: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9"/>
      <c r="N107" s="9"/>
      <c r="O107" s="3"/>
    </row>
    <row r="108" spans="1:15">
      <c r="A108" s="3" t="s">
        <v>71</v>
      </c>
      <c r="B108" s="10" t="s">
        <v>401</v>
      </c>
      <c r="C108" s="10" t="s">
        <v>964</v>
      </c>
      <c r="D108" s="10" t="s">
        <v>869</v>
      </c>
      <c r="E108" s="10"/>
      <c r="F108" s="10"/>
      <c r="G108" s="10"/>
      <c r="H108" s="10"/>
      <c r="I108" s="10"/>
      <c r="J108" s="10"/>
      <c r="K108" s="10"/>
      <c r="L108" s="10"/>
      <c r="M108" s="9">
        <v>25295</v>
      </c>
      <c r="N108" s="10" t="s">
        <v>403</v>
      </c>
      <c r="O108" s="3"/>
    </row>
    <row r="109" spans="1:15">
      <c r="A109" s="3"/>
      <c r="B109" s="10">
        <v>62168</v>
      </c>
      <c r="C109" s="10">
        <v>2864</v>
      </c>
      <c r="D109" s="10">
        <v>531</v>
      </c>
      <c r="E109" s="10"/>
      <c r="F109" s="10"/>
      <c r="G109" s="9"/>
      <c r="H109" s="9"/>
      <c r="I109" s="9"/>
      <c r="J109" s="9"/>
      <c r="K109" s="9"/>
      <c r="L109" s="9"/>
      <c r="M109" s="9"/>
      <c r="N109" s="9"/>
      <c r="O109" s="3"/>
    </row>
    <row r="110" spans="1: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>
      <c r="A111" s="41" t="s">
        <v>5</v>
      </c>
      <c r="B111" s="37" t="s">
        <v>965</v>
      </c>
      <c r="C111" s="37" t="s">
        <v>863</v>
      </c>
      <c r="D111" s="37" t="s">
        <v>863</v>
      </c>
      <c r="E111" s="37" t="s">
        <v>966</v>
      </c>
      <c r="F111" s="37" t="s">
        <v>865</v>
      </c>
      <c r="G111" s="37"/>
      <c r="H111" s="37" t="s">
        <v>965</v>
      </c>
      <c r="I111" s="37"/>
      <c r="J111" s="37" t="s">
        <v>965</v>
      </c>
      <c r="K111" s="37"/>
      <c r="L111" s="37"/>
      <c r="M111" s="38">
        <v>15312</v>
      </c>
      <c r="N111" s="37" t="s">
        <v>866</v>
      </c>
      <c r="O111" s="3"/>
    </row>
    <row r="112" spans="1:15">
      <c r="A112" s="38"/>
      <c r="B112" s="38">
        <v>31904</v>
      </c>
      <c r="C112" s="40">
        <v>33882</v>
      </c>
      <c r="D112" s="40">
        <v>4632</v>
      </c>
      <c r="E112" s="40">
        <v>723</v>
      </c>
      <c r="F112" s="41" t="s">
        <v>865</v>
      </c>
      <c r="G112" s="41"/>
      <c r="H112" s="41">
        <v>696</v>
      </c>
      <c r="I112" s="41"/>
      <c r="J112" s="41">
        <v>651</v>
      </c>
      <c r="K112" s="41"/>
      <c r="L112" s="40"/>
      <c r="M112" s="38"/>
      <c r="N112" s="41"/>
      <c r="O112" s="3"/>
    </row>
    <row r="113" spans="1:15">
      <c r="A113" s="9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9"/>
      <c r="N113" s="9"/>
      <c r="O113" s="3"/>
    </row>
    <row r="114" spans="1:15">
      <c r="A114" s="11" t="s">
        <v>104</v>
      </c>
      <c r="B114" s="8" t="s">
        <v>967</v>
      </c>
      <c r="C114" s="8" t="s">
        <v>721</v>
      </c>
      <c r="D114" s="8" t="s">
        <v>721</v>
      </c>
      <c r="E114" s="8" t="s">
        <v>722</v>
      </c>
      <c r="F114" s="8" t="s">
        <v>967</v>
      </c>
      <c r="G114" s="8" t="s">
        <v>968</v>
      </c>
      <c r="H114" s="8"/>
      <c r="I114" s="8"/>
      <c r="J114" s="8" t="s">
        <v>722</v>
      </c>
      <c r="K114" s="8"/>
      <c r="L114" s="8"/>
      <c r="M114" s="9">
        <v>11728</v>
      </c>
      <c r="N114" s="8" t="s">
        <v>868</v>
      </c>
      <c r="O114" s="3"/>
    </row>
    <row r="115" spans="1:15">
      <c r="A115" s="9"/>
      <c r="B115" s="9">
        <v>47463</v>
      </c>
      <c r="C115" s="10">
        <v>46647</v>
      </c>
      <c r="D115" s="10">
        <v>3356</v>
      </c>
      <c r="E115" s="10">
        <v>4045</v>
      </c>
      <c r="F115" s="9">
        <v>988</v>
      </c>
      <c r="G115" s="10">
        <v>2562</v>
      </c>
      <c r="H115" s="10"/>
      <c r="I115" s="10"/>
      <c r="J115" s="10">
        <v>1056</v>
      </c>
      <c r="K115" s="10"/>
      <c r="L115" s="10"/>
      <c r="M115" s="9"/>
      <c r="N115" s="11"/>
      <c r="O115" s="3"/>
    </row>
    <row r="116" spans="1:15">
      <c r="A116" s="9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9"/>
      <c r="N116" s="9"/>
      <c r="O116" s="3"/>
    </row>
    <row r="117" spans="1:15">
      <c r="A117" s="41" t="s">
        <v>8</v>
      </c>
      <c r="B117" s="37" t="s">
        <v>969</v>
      </c>
      <c r="C117" s="37"/>
      <c r="D117" s="37"/>
      <c r="E117" s="37"/>
      <c r="F117" s="37" t="s">
        <v>870</v>
      </c>
      <c r="G117" s="37" t="s">
        <v>970</v>
      </c>
      <c r="H117" s="37" t="s">
        <v>556</v>
      </c>
      <c r="I117" s="37"/>
      <c r="J117" s="37"/>
      <c r="K117" s="37"/>
      <c r="L117" s="37"/>
      <c r="M117" s="38">
        <v>53236</v>
      </c>
      <c r="N117" s="37" t="s">
        <v>557</v>
      </c>
      <c r="O117" s="3"/>
    </row>
    <row r="118" spans="1:15">
      <c r="A118" s="38"/>
      <c r="B118" s="38">
        <v>75662</v>
      </c>
      <c r="C118" s="38"/>
      <c r="D118" s="38"/>
      <c r="E118" s="38"/>
      <c r="F118" s="38"/>
      <c r="G118" s="38">
        <v>3745</v>
      </c>
      <c r="H118" s="38">
        <v>1496</v>
      </c>
      <c r="I118" s="38"/>
      <c r="J118" s="38"/>
      <c r="K118" s="38"/>
      <c r="L118" s="38"/>
      <c r="M118" s="38"/>
      <c r="N118" s="41"/>
      <c r="O118" s="3"/>
    </row>
    <row r="119" spans="1:15">
      <c r="A119" s="9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9"/>
      <c r="O119" s="3"/>
    </row>
    <row r="120" spans="1:15">
      <c r="A120" s="11" t="s">
        <v>10</v>
      </c>
      <c r="B120" s="8"/>
      <c r="C120" s="8" t="s">
        <v>971</v>
      </c>
      <c r="D120" s="8" t="s">
        <v>971</v>
      </c>
      <c r="E120" s="8"/>
      <c r="F120" s="8"/>
      <c r="G120" s="8" t="s">
        <v>972</v>
      </c>
      <c r="H120" s="8"/>
      <c r="I120" s="8"/>
      <c r="J120" s="8"/>
      <c r="K120" s="8"/>
      <c r="L120" s="8"/>
      <c r="M120" s="9">
        <v>58448</v>
      </c>
      <c r="N120" s="8" t="s">
        <v>648</v>
      </c>
      <c r="O120" s="3"/>
    </row>
    <row r="121" spans="1:15">
      <c r="A121" s="9"/>
      <c r="B121" s="10"/>
      <c r="C121" s="9">
        <v>73754</v>
      </c>
      <c r="D121" s="9">
        <v>7312</v>
      </c>
      <c r="E121" s="9"/>
      <c r="F121" s="9"/>
      <c r="G121" s="9">
        <v>4118</v>
      </c>
      <c r="H121" s="9"/>
      <c r="I121" s="9"/>
      <c r="J121" s="9"/>
      <c r="K121" s="9"/>
      <c r="L121" s="9"/>
      <c r="M121" s="9"/>
      <c r="N121" s="11"/>
      <c r="O121" s="3"/>
    </row>
    <row r="122" spans="1:1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3"/>
    </row>
    <row r="123" spans="1:15">
      <c r="A123" s="41" t="s">
        <v>14</v>
      </c>
      <c r="B123" s="37" t="s">
        <v>973</v>
      </c>
      <c r="C123" s="37" t="s">
        <v>644</v>
      </c>
      <c r="D123" s="37" t="s">
        <v>644</v>
      </c>
      <c r="E123" s="37" t="s">
        <v>644</v>
      </c>
      <c r="F123" s="37" t="s">
        <v>973</v>
      </c>
      <c r="G123" s="37"/>
      <c r="H123" s="37" t="s">
        <v>973</v>
      </c>
      <c r="I123" s="37"/>
      <c r="J123" s="37"/>
      <c r="K123" s="37"/>
      <c r="L123" s="37"/>
      <c r="M123" s="38">
        <v>14020</v>
      </c>
      <c r="N123" s="37" t="s">
        <v>645</v>
      </c>
      <c r="O123" s="3"/>
    </row>
    <row r="124" spans="1:15">
      <c r="A124" s="38"/>
      <c r="B124" s="38">
        <v>52475</v>
      </c>
      <c r="C124" s="38">
        <v>62207</v>
      </c>
      <c r="D124" s="38">
        <v>5028</v>
      </c>
      <c r="E124" s="38">
        <v>4107</v>
      </c>
      <c r="F124" s="38">
        <v>1742</v>
      </c>
      <c r="G124" s="38"/>
      <c r="H124" s="38">
        <v>1830</v>
      </c>
      <c r="I124" s="38"/>
      <c r="J124" s="38"/>
      <c r="K124" s="38"/>
      <c r="L124" s="38"/>
      <c r="M124" s="38"/>
      <c r="N124" s="41"/>
      <c r="O124" s="3"/>
    </row>
    <row r="125" spans="1:15">
      <c r="A125" s="9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9"/>
      <c r="M125" s="9"/>
      <c r="N125" s="9"/>
      <c r="O125" s="3"/>
    </row>
    <row r="126" spans="1:15">
      <c r="A126" s="11" t="s">
        <v>17</v>
      </c>
      <c r="B126" s="8"/>
      <c r="C126" s="8" t="s">
        <v>335</v>
      </c>
      <c r="D126" s="8" t="s">
        <v>335</v>
      </c>
      <c r="E126" s="8"/>
      <c r="F126" s="8"/>
      <c r="G126" s="8" t="s">
        <v>874</v>
      </c>
      <c r="H126" s="8"/>
      <c r="I126" s="8"/>
      <c r="J126" s="8"/>
      <c r="K126" s="8"/>
      <c r="L126" s="8" t="s">
        <v>865</v>
      </c>
      <c r="M126" s="9">
        <v>51990</v>
      </c>
      <c r="N126" s="8" t="s">
        <v>337</v>
      </c>
      <c r="O126" s="3"/>
    </row>
    <row r="127" spans="1:15">
      <c r="A127" s="9"/>
      <c r="B127" s="9"/>
      <c r="C127" s="9">
        <v>62817</v>
      </c>
      <c r="D127" s="9">
        <v>5757</v>
      </c>
      <c r="E127" s="9"/>
      <c r="F127" s="9"/>
      <c r="G127" s="11">
        <v>3576</v>
      </c>
      <c r="H127" s="11"/>
      <c r="I127" s="11"/>
      <c r="J127" s="11"/>
      <c r="K127" s="11"/>
      <c r="L127" s="11" t="s">
        <v>865</v>
      </c>
      <c r="M127" s="9"/>
      <c r="N127" s="11"/>
      <c r="O127" s="3"/>
    </row>
    <row r="128" spans="1:15">
      <c r="A128" s="9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9"/>
      <c r="M128" s="9"/>
      <c r="N128" s="9"/>
      <c r="O128" s="3"/>
    </row>
    <row r="129" spans="1:15">
      <c r="A129" s="41" t="s">
        <v>19</v>
      </c>
      <c r="B129" s="37"/>
      <c r="C129" s="37" t="s">
        <v>342</v>
      </c>
      <c r="D129" s="37" t="s">
        <v>342</v>
      </c>
      <c r="E129" s="37"/>
      <c r="F129" s="37"/>
      <c r="G129" s="37" t="s">
        <v>876</v>
      </c>
      <c r="H129" s="37"/>
      <c r="I129" s="37"/>
      <c r="J129" s="37"/>
      <c r="K129" s="37"/>
      <c r="L129" s="37"/>
      <c r="M129" s="40">
        <v>61042</v>
      </c>
      <c r="N129" s="37" t="s">
        <v>343</v>
      </c>
      <c r="O129" s="3"/>
    </row>
    <row r="130" spans="1:15">
      <c r="A130" s="38"/>
      <c r="B130" s="38"/>
      <c r="C130" s="38">
        <v>63819</v>
      </c>
      <c r="D130" s="38">
        <v>7105</v>
      </c>
      <c r="E130" s="38"/>
      <c r="F130" s="38"/>
      <c r="G130" s="38">
        <v>4064</v>
      </c>
      <c r="H130" s="38"/>
      <c r="I130" s="38"/>
      <c r="J130" s="38"/>
      <c r="K130" s="38"/>
      <c r="L130" s="41"/>
      <c r="M130" s="38"/>
      <c r="N130" s="41"/>
      <c r="O130" s="3"/>
    </row>
    <row r="131" spans="1:15">
      <c r="A131" s="9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9"/>
      <c r="M131" s="9"/>
      <c r="N131" s="9"/>
      <c r="O131" s="3"/>
    </row>
    <row r="132" spans="1:15">
      <c r="A132" s="11" t="s">
        <v>20</v>
      </c>
      <c r="B132" s="8" t="s">
        <v>974</v>
      </c>
      <c r="C132" s="8" t="s">
        <v>489</v>
      </c>
      <c r="D132" s="8" t="s">
        <v>489</v>
      </c>
      <c r="E132" s="8"/>
      <c r="F132" s="8"/>
      <c r="G132" s="8"/>
      <c r="H132" s="8"/>
      <c r="I132" s="8"/>
      <c r="J132" s="8"/>
      <c r="K132" s="8"/>
      <c r="L132" s="8"/>
      <c r="M132" s="10">
        <v>16226</v>
      </c>
      <c r="N132" s="8" t="s">
        <v>563</v>
      </c>
      <c r="O132" s="3"/>
    </row>
    <row r="133" spans="1:15">
      <c r="A133" s="9"/>
      <c r="B133" s="9">
        <v>33667</v>
      </c>
      <c r="C133" s="9">
        <v>70166</v>
      </c>
      <c r="D133" s="9">
        <v>6889</v>
      </c>
      <c r="E133" s="9"/>
      <c r="F133" s="9"/>
      <c r="G133" s="9"/>
      <c r="H133" s="9"/>
      <c r="I133" s="9"/>
      <c r="J133" s="9"/>
      <c r="K133" s="9"/>
      <c r="L133" s="9"/>
      <c r="M133" s="9"/>
      <c r="N133" s="11"/>
      <c r="O133" s="3"/>
    </row>
    <row r="134" spans="1:15">
      <c r="A134" s="9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9"/>
      <c r="N134" s="9"/>
      <c r="O134" s="3"/>
    </row>
    <row r="135" spans="1:15">
      <c r="A135" s="41" t="s">
        <v>22</v>
      </c>
      <c r="B135" s="37" t="s">
        <v>975</v>
      </c>
      <c r="C135" s="37" t="s">
        <v>220</v>
      </c>
      <c r="D135" s="37" t="s">
        <v>220</v>
      </c>
      <c r="E135" s="37" t="s">
        <v>72</v>
      </c>
      <c r="F135" s="37" t="s">
        <v>72</v>
      </c>
      <c r="G135" s="37" t="s">
        <v>220</v>
      </c>
      <c r="H135" s="37" t="s">
        <v>72</v>
      </c>
      <c r="I135" s="37"/>
      <c r="J135" s="37"/>
      <c r="K135" s="37"/>
      <c r="L135" s="37"/>
      <c r="M135" s="40">
        <v>14216</v>
      </c>
      <c r="N135" s="37" t="s">
        <v>92</v>
      </c>
      <c r="O135" s="3"/>
    </row>
    <row r="136" spans="1:15">
      <c r="A136" s="38"/>
      <c r="B136" s="40">
        <v>84584</v>
      </c>
      <c r="C136" s="38">
        <v>32563</v>
      </c>
      <c r="D136" s="38">
        <v>2342</v>
      </c>
      <c r="E136" s="38">
        <v>4101</v>
      </c>
      <c r="F136" s="38">
        <v>1771</v>
      </c>
      <c r="G136" s="38">
        <v>1367</v>
      </c>
      <c r="H136" s="38">
        <v>2635</v>
      </c>
      <c r="I136" s="38"/>
      <c r="J136" s="38"/>
      <c r="K136" s="38"/>
      <c r="L136" s="38"/>
      <c r="M136" s="38"/>
      <c r="N136" s="41"/>
      <c r="O136" s="3"/>
    </row>
    <row r="137" spans="1:15">
      <c r="A137" s="9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9"/>
      <c r="N137" s="9"/>
      <c r="O137" s="3"/>
    </row>
    <row r="138" spans="1:15">
      <c r="A138" s="11" t="s">
        <v>25</v>
      </c>
      <c r="B138" s="8"/>
      <c r="C138" s="8" t="s">
        <v>729</v>
      </c>
      <c r="D138" s="8" t="s">
        <v>729</v>
      </c>
      <c r="E138" s="8" t="s">
        <v>730</v>
      </c>
      <c r="F138" s="8"/>
      <c r="G138" s="8"/>
      <c r="H138" s="8"/>
      <c r="I138" s="8"/>
      <c r="J138" s="8"/>
      <c r="K138" s="8"/>
      <c r="L138" s="8"/>
      <c r="M138" s="9">
        <v>47127</v>
      </c>
      <c r="N138" s="8" t="s">
        <v>731</v>
      </c>
      <c r="O138" s="3"/>
    </row>
    <row r="139" spans="1:15">
      <c r="A139" s="9"/>
      <c r="B139" s="10"/>
      <c r="C139" s="9">
        <v>78976</v>
      </c>
      <c r="D139" s="9">
        <v>6838</v>
      </c>
      <c r="E139" s="9">
        <v>10554</v>
      </c>
      <c r="F139" s="9"/>
      <c r="G139" s="9"/>
      <c r="H139" s="9"/>
      <c r="I139" s="9"/>
      <c r="J139" s="9"/>
      <c r="K139" s="9"/>
      <c r="L139" s="9"/>
      <c r="M139" s="9"/>
      <c r="N139" s="11"/>
      <c r="O139" s="3"/>
    </row>
    <row r="140" spans="1:15">
      <c r="A140" s="9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9"/>
      <c r="N140" s="9"/>
      <c r="O140" s="3"/>
    </row>
    <row r="141" spans="1:15">
      <c r="A141" s="41" t="s">
        <v>27</v>
      </c>
      <c r="B141" s="37" t="s">
        <v>976</v>
      </c>
      <c r="C141" s="37" t="s">
        <v>568</v>
      </c>
      <c r="D141" s="37" t="s">
        <v>568</v>
      </c>
      <c r="E141" s="37" t="s">
        <v>414</v>
      </c>
      <c r="F141" s="37" t="s">
        <v>917</v>
      </c>
      <c r="G141" s="37"/>
      <c r="H141" s="37" t="s">
        <v>917</v>
      </c>
      <c r="I141" s="37"/>
      <c r="J141" s="37" t="s">
        <v>1010</v>
      </c>
      <c r="K141" s="37"/>
      <c r="L141" s="37"/>
      <c r="M141" s="38">
        <v>8223</v>
      </c>
      <c r="N141" s="37" t="s">
        <v>416</v>
      </c>
      <c r="O141" s="3"/>
    </row>
    <row r="142" spans="1:15">
      <c r="A142" s="38"/>
      <c r="B142" s="38">
        <v>51231</v>
      </c>
      <c r="C142" s="38">
        <v>61734</v>
      </c>
      <c r="D142" s="38">
        <v>4128</v>
      </c>
      <c r="E142" s="38">
        <v>4448</v>
      </c>
      <c r="F142" s="38">
        <v>816</v>
      </c>
      <c r="G142" s="38"/>
      <c r="H142" s="38">
        <v>332</v>
      </c>
      <c r="I142" s="38"/>
      <c r="J142" s="38">
        <v>1050</v>
      </c>
      <c r="K142" s="38"/>
      <c r="L142" s="38"/>
      <c r="M142" s="38"/>
      <c r="N142" s="41"/>
      <c r="O142" s="3"/>
    </row>
    <row r="143" spans="1:15">
      <c r="A143" s="9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9"/>
      <c r="M143" s="9"/>
      <c r="N143" s="9"/>
      <c r="O143" s="3"/>
    </row>
    <row r="144" spans="1:15">
      <c r="A144" s="11" t="s">
        <v>30</v>
      </c>
      <c r="B144" s="8" t="s">
        <v>865</v>
      </c>
      <c r="C144" s="8" t="s">
        <v>977</v>
      </c>
      <c r="D144" s="8" t="s">
        <v>977</v>
      </c>
      <c r="E144" s="8"/>
      <c r="F144" s="8"/>
      <c r="G144" s="8"/>
      <c r="H144" s="8"/>
      <c r="I144" s="8"/>
      <c r="J144" s="8"/>
      <c r="K144" s="8"/>
      <c r="L144" s="8"/>
      <c r="M144" s="9">
        <v>40294</v>
      </c>
      <c r="N144" s="8" t="s">
        <v>978</v>
      </c>
      <c r="O144" s="3"/>
    </row>
    <row r="145" spans="1:16">
      <c r="A145" s="9"/>
      <c r="B145" s="11" t="s">
        <v>865</v>
      </c>
      <c r="C145" s="9">
        <v>76528</v>
      </c>
      <c r="D145" s="9">
        <v>6727</v>
      </c>
      <c r="E145" s="9"/>
      <c r="F145" s="9"/>
      <c r="G145" s="9"/>
      <c r="H145" s="9"/>
      <c r="I145" s="9"/>
      <c r="J145" s="9"/>
      <c r="K145" s="9"/>
      <c r="L145" s="9"/>
      <c r="M145" s="9"/>
      <c r="N145" s="11"/>
      <c r="O145" s="3"/>
    </row>
    <row r="146" spans="1:16">
      <c r="A146" s="9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9"/>
      <c r="O146" s="3"/>
    </row>
    <row r="147" spans="1:16">
      <c r="A147" s="41" t="s">
        <v>31</v>
      </c>
      <c r="B147" s="37"/>
      <c r="C147" s="37" t="s">
        <v>979</v>
      </c>
      <c r="D147" s="37" t="s">
        <v>979</v>
      </c>
      <c r="E147" s="37"/>
      <c r="F147" s="37" t="s">
        <v>865</v>
      </c>
      <c r="G147" s="37"/>
      <c r="H147" s="37"/>
      <c r="I147" s="37"/>
      <c r="J147" s="37" t="s">
        <v>1011</v>
      </c>
      <c r="K147" s="37"/>
      <c r="L147" s="40" t="s">
        <v>980</v>
      </c>
      <c r="M147" s="38">
        <v>36770</v>
      </c>
      <c r="N147" s="37" t="s">
        <v>735</v>
      </c>
      <c r="O147" s="3"/>
    </row>
    <row r="148" spans="1:16">
      <c r="A148" s="38"/>
      <c r="B148" s="38"/>
      <c r="C148" s="38">
        <v>60954</v>
      </c>
      <c r="D148" s="38">
        <v>5341</v>
      </c>
      <c r="E148" s="38"/>
      <c r="F148" s="38"/>
      <c r="G148" s="38"/>
      <c r="H148" s="38"/>
      <c r="I148" s="38"/>
      <c r="J148" s="38">
        <v>3406</v>
      </c>
      <c r="K148" s="38"/>
      <c r="L148" s="38">
        <v>1025</v>
      </c>
      <c r="M148" s="38"/>
      <c r="N148" s="41"/>
      <c r="O148" s="3"/>
    </row>
    <row r="149" spans="1:16">
      <c r="A149" s="9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9"/>
      <c r="N149" s="9"/>
      <c r="O149" s="3"/>
    </row>
    <row r="150" spans="1:16">
      <c r="A150" s="11" t="s">
        <v>34</v>
      </c>
      <c r="B150" s="8"/>
      <c r="C150" s="8" t="s">
        <v>795</v>
      </c>
      <c r="D150" s="8" t="s">
        <v>795</v>
      </c>
      <c r="E150" s="8"/>
      <c r="F150" s="8"/>
      <c r="G150" s="8"/>
      <c r="H150" s="8"/>
      <c r="I150" s="8"/>
      <c r="J150" s="8"/>
      <c r="K150" s="8"/>
      <c r="L150" s="8"/>
      <c r="M150" s="9">
        <v>44333</v>
      </c>
      <c r="N150" s="8" t="s">
        <v>796</v>
      </c>
      <c r="O150" s="3"/>
    </row>
    <row r="151" spans="1:16">
      <c r="A151" s="9"/>
      <c r="B151" s="11"/>
      <c r="C151" s="9">
        <v>66201</v>
      </c>
      <c r="D151" s="9">
        <v>7745</v>
      </c>
      <c r="E151" s="9"/>
      <c r="F151" s="9"/>
      <c r="G151" s="9"/>
      <c r="H151" s="9"/>
      <c r="I151" s="9"/>
      <c r="J151" s="9"/>
      <c r="K151" s="9"/>
      <c r="L151" s="9"/>
      <c r="M151" s="9"/>
      <c r="N151" s="11"/>
      <c r="O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6">
      <c r="A153" s="41" t="s">
        <v>37</v>
      </c>
      <c r="B153" s="37" t="s">
        <v>981</v>
      </c>
      <c r="C153" s="37" t="s">
        <v>797</v>
      </c>
      <c r="D153" s="37" t="s">
        <v>981</v>
      </c>
      <c r="E153" s="37" t="s">
        <v>981</v>
      </c>
      <c r="F153" s="37"/>
      <c r="G153" s="37" t="s">
        <v>865</v>
      </c>
      <c r="H153" s="37" t="s">
        <v>981</v>
      </c>
      <c r="I153" s="37"/>
      <c r="J153" s="37" t="s">
        <v>1012</v>
      </c>
      <c r="K153" s="37"/>
      <c r="L153" s="40"/>
      <c r="M153" s="38">
        <v>13652</v>
      </c>
      <c r="N153" s="37" t="s">
        <v>737</v>
      </c>
      <c r="O153" s="3"/>
      <c r="P153" s="2"/>
    </row>
    <row r="154" spans="1:16">
      <c r="A154" s="38"/>
      <c r="B154" s="38">
        <v>33123</v>
      </c>
      <c r="C154" s="38">
        <v>60673</v>
      </c>
      <c r="D154" s="38">
        <v>2164</v>
      </c>
      <c r="E154" s="38">
        <v>1647</v>
      </c>
      <c r="F154" s="38"/>
      <c r="G154" s="38"/>
      <c r="H154" s="38">
        <v>951</v>
      </c>
      <c r="I154" s="38"/>
      <c r="J154" s="38">
        <v>1629</v>
      </c>
      <c r="K154" s="38"/>
      <c r="L154" s="38"/>
      <c r="M154" s="38"/>
      <c r="N154" s="41"/>
      <c r="O154" s="3"/>
      <c r="P154" s="2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2"/>
    </row>
    <row r="156" spans="1:16">
      <c r="A156" s="11" t="s">
        <v>39</v>
      </c>
      <c r="B156" s="8"/>
      <c r="C156" s="8" t="s">
        <v>982</v>
      </c>
      <c r="D156" s="8" t="s">
        <v>982</v>
      </c>
      <c r="E156" s="8" t="s">
        <v>982</v>
      </c>
      <c r="F156" s="8"/>
      <c r="G156" s="8"/>
      <c r="H156" s="8"/>
      <c r="I156" s="8"/>
      <c r="J156" s="8" t="s">
        <v>1013</v>
      </c>
      <c r="K156" s="8"/>
      <c r="L156" s="8"/>
      <c r="M156" s="9">
        <v>45623</v>
      </c>
      <c r="N156" s="8" t="s">
        <v>40</v>
      </c>
      <c r="O156" s="3"/>
      <c r="P156" s="2"/>
    </row>
    <row r="157" spans="1:16">
      <c r="A157" s="9"/>
      <c r="B157" s="9"/>
      <c r="C157" s="9">
        <v>72867</v>
      </c>
      <c r="D157" s="9">
        <v>5776</v>
      </c>
      <c r="E157" s="9">
        <v>8057</v>
      </c>
      <c r="F157" s="9"/>
      <c r="G157" s="9"/>
      <c r="H157" s="9"/>
      <c r="I157" s="9"/>
      <c r="J157" s="9">
        <v>3226</v>
      </c>
      <c r="K157" s="9"/>
      <c r="L157" s="9"/>
      <c r="M157" s="9"/>
      <c r="N157" s="11"/>
      <c r="O157" s="3"/>
      <c r="P157" s="2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2"/>
    </row>
    <row r="159" spans="1:16">
      <c r="A159" s="41" t="s">
        <v>43</v>
      </c>
      <c r="B159" s="37"/>
      <c r="C159" s="37" t="s">
        <v>983</v>
      </c>
      <c r="D159" s="37" t="s">
        <v>983</v>
      </c>
      <c r="E159" s="37"/>
      <c r="F159" s="37"/>
      <c r="G159" s="37" t="s">
        <v>865</v>
      </c>
      <c r="H159" s="37"/>
      <c r="I159" s="37"/>
      <c r="J159" s="37" t="s">
        <v>1014</v>
      </c>
      <c r="K159" s="37"/>
      <c r="L159" s="37"/>
      <c r="M159" s="38">
        <v>44910</v>
      </c>
      <c r="N159" s="37" t="s">
        <v>44</v>
      </c>
      <c r="O159" s="3"/>
      <c r="P159" s="2"/>
    </row>
    <row r="160" spans="1:16">
      <c r="A160" s="38"/>
      <c r="B160" s="41"/>
      <c r="C160" s="38">
        <v>63610</v>
      </c>
      <c r="D160" s="38">
        <v>6325</v>
      </c>
      <c r="E160" s="38"/>
      <c r="F160" s="38"/>
      <c r="G160" s="38"/>
      <c r="H160" s="38"/>
      <c r="I160" s="38"/>
      <c r="J160" s="38">
        <v>7627</v>
      </c>
      <c r="K160" s="38"/>
      <c r="L160" s="38"/>
      <c r="M160" s="38"/>
      <c r="N160" s="41"/>
      <c r="O160" s="3"/>
      <c r="P160" s="2"/>
    </row>
    <row r="161" spans="1:16">
      <c r="A161" s="9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9"/>
      <c r="N161" s="9"/>
      <c r="O161" s="3"/>
      <c r="P161" s="2"/>
    </row>
    <row r="162" spans="1:16">
      <c r="A162" s="11" t="s">
        <v>46</v>
      </c>
      <c r="B162" s="8" t="s">
        <v>984</v>
      </c>
      <c r="C162" s="8" t="s">
        <v>985</v>
      </c>
      <c r="D162" s="8" t="s">
        <v>985</v>
      </c>
      <c r="E162" s="8"/>
      <c r="F162" s="8"/>
      <c r="G162" s="8"/>
      <c r="H162" s="8"/>
      <c r="I162" s="8"/>
      <c r="J162" s="8"/>
      <c r="K162" s="8"/>
      <c r="L162" s="8"/>
      <c r="M162" s="9">
        <v>15779</v>
      </c>
      <c r="N162" s="8" t="s">
        <v>419</v>
      </c>
      <c r="O162" s="3"/>
      <c r="P162" s="2"/>
    </row>
    <row r="163" spans="1:16">
      <c r="A163" s="9"/>
      <c r="B163" s="9">
        <v>25354</v>
      </c>
      <c r="C163" s="9">
        <v>75931</v>
      </c>
      <c r="D163" s="9">
        <v>4944</v>
      </c>
      <c r="E163" s="9"/>
      <c r="F163" s="9"/>
      <c r="G163" s="9"/>
      <c r="H163" s="9"/>
      <c r="I163" s="9"/>
      <c r="J163" s="9"/>
      <c r="K163" s="9"/>
      <c r="L163" s="9"/>
      <c r="M163" s="9"/>
      <c r="N163" s="11"/>
      <c r="O163" s="3"/>
      <c r="P163" s="2"/>
    </row>
    <row r="164" spans="1:16">
      <c r="A164" s="9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9"/>
      <c r="N164" s="9"/>
      <c r="O164" s="3"/>
      <c r="P164" s="2"/>
    </row>
    <row r="165" spans="1:16">
      <c r="A165" s="41" t="s">
        <v>48</v>
      </c>
      <c r="B165" s="37"/>
      <c r="C165" s="37" t="s">
        <v>986</v>
      </c>
      <c r="D165" s="37" t="s">
        <v>986</v>
      </c>
      <c r="E165" s="37"/>
      <c r="F165" s="37"/>
      <c r="G165" s="37"/>
      <c r="H165" s="37"/>
      <c r="I165" s="37"/>
      <c r="J165" s="37"/>
      <c r="K165" s="37"/>
      <c r="L165" s="37"/>
      <c r="M165" s="38">
        <v>43854</v>
      </c>
      <c r="N165" s="37" t="s">
        <v>884</v>
      </c>
      <c r="O165" s="3"/>
      <c r="P165" s="2"/>
    </row>
    <row r="166" spans="1:16">
      <c r="A166" s="38"/>
      <c r="B166" s="38"/>
      <c r="C166" s="38">
        <v>75909</v>
      </c>
      <c r="D166" s="38">
        <v>6342</v>
      </c>
      <c r="E166" s="38"/>
      <c r="F166" s="38"/>
      <c r="G166" s="38"/>
      <c r="H166" s="38"/>
      <c r="I166" s="38"/>
      <c r="J166" s="38"/>
      <c r="K166" s="38"/>
      <c r="L166" s="38"/>
      <c r="M166" s="38"/>
      <c r="N166" s="41"/>
      <c r="O166" s="3"/>
      <c r="P166" s="2"/>
    </row>
    <row r="167" spans="1:16">
      <c r="A167" s="9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9"/>
      <c r="N167" s="9"/>
      <c r="O167" s="3"/>
      <c r="P167" s="2"/>
    </row>
    <row r="168" spans="1:16">
      <c r="A168" s="11" t="s">
        <v>50</v>
      </c>
      <c r="B168" s="8" t="s">
        <v>865</v>
      </c>
      <c r="C168" s="8" t="s">
        <v>987</v>
      </c>
      <c r="D168" s="8" t="s">
        <v>987</v>
      </c>
      <c r="E168" s="8"/>
      <c r="F168" s="8"/>
      <c r="G168" s="8"/>
      <c r="H168" s="8"/>
      <c r="I168" s="8"/>
      <c r="J168" s="8"/>
      <c r="K168" s="8"/>
      <c r="L168" s="8"/>
      <c r="M168" s="9">
        <v>44456</v>
      </c>
      <c r="N168" s="8" t="s">
        <v>421</v>
      </c>
      <c r="O168" s="3"/>
      <c r="P168" s="2"/>
    </row>
    <row r="169" spans="1:16">
      <c r="A169" s="9"/>
      <c r="B169" s="11" t="s">
        <v>865</v>
      </c>
      <c r="C169" s="9">
        <v>80022</v>
      </c>
      <c r="D169" s="9">
        <v>9850</v>
      </c>
      <c r="E169" s="9"/>
      <c r="F169" s="9"/>
      <c r="G169" s="9"/>
      <c r="H169" s="9"/>
      <c r="I169" s="9"/>
      <c r="J169" s="9"/>
      <c r="K169" s="9"/>
      <c r="L169" s="9"/>
      <c r="M169" s="9"/>
      <c r="N169" s="11"/>
      <c r="O169" s="3"/>
      <c r="P169" s="2"/>
    </row>
    <row r="170" spans="1:16">
      <c r="A170" s="9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9"/>
      <c r="N170" s="9"/>
      <c r="O170" s="3"/>
      <c r="P170" s="2"/>
    </row>
    <row r="171" spans="1:16">
      <c r="A171" s="41" t="s">
        <v>51</v>
      </c>
      <c r="B171" s="37" t="s">
        <v>988</v>
      </c>
      <c r="C171" s="37" t="s">
        <v>989</v>
      </c>
      <c r="D171" s="37"/>
      <c r="E171" s="37"/>
      <c r="F171" s="37"/>
      <c r="G171" s="37" t="s">
        <v>870</v>
      </c>
      <c r="H171" s="37" t="s">
        <v>663</v>
      </c>
      <c r="I171" s="37"/>
      <c r="J171" s="37"/>
      <c r="K171" s="37"/>
      <c r="L171" s="37"/>
      <c r="M171" s="38">
        <v>19870</v>
      </c>
      <c r="N171" s="37" t="s">
        <v>990</v>
      </c>
      <c r="O171" s="3"/>
      <c r="P171" s="2"/>
    </row>
    <row r="172" spans="1:16">
      <c r="A172" s="38"/>
      <c r="B172" s="38">
        <v>67712</v>
      </c>
      <c r="C172" s="38">
        <v>22842</v>
      </c>
      <c r="D172" s="38"/>
      <c r="E172" s="38"/>
      <c r="F172" s="38"/>
      <c r="G172" s="41" t="s">
        <v>870</v>
      </c>
      <c r="H172" s="41">
        <v>1345</v>
      </c>
      <c r="I172" s="41"/>
      <c r="J172" s="41"/>
      <c r="K172" s="41"/>
      <c r="L172" s="41"/>
      <c r="M172" s="38"/>
      <c r="N172" s="41"/>
      <c r="O172" s="3"/>
      <c r="P172" s="2"/>
    </row>
    <row r="173" spans="1:16">
      <c r="A173" s="9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9"/>
      <c r="N173" s="9"/>
      <c r="O173" s="3"/>
      <c r="P173" s="2"/>
    </row>
    <row r="174" spans="1:16">
      <c r="A174" s="11" t="s">
        <v>53</v>
      </c>
      <c r="B174" s="8" t="s">
        <v>991</v>
      </c>
      <c r="C174" s="8" t="s">
        <v>581</v>
      </c>
      <c r="D174" s="8" t="s">
        <v>581</v>
      </c>
      <c r="E174" s="8"/>
      <c r="F174" s="8"/>
      <c r="G174" s="8"/>
      <c r="H174" s="8"/>
      <c r="I174" s="8"/>
      <c r="J174" s="8"/>
      <c r="K174" s="8"/>
      <c r="L174" s="8"/>
      <c r="M174" s="9">
        <v>21677</v>
      </c>
      <c r="N174" s="8" t="s">
        <v>584</v>
      </c>
      <c r="O174" s="3"/>
      <c r="P174" s="2"/>
    </row>
    <row r="175" spans="1:16">
      <c r="A175" s="9"/>
      <c r="B175" s="9">
        <v>34956</v>
      </c>
      <c r="C175" s="9">
        <v>83507</v>
      </c>
      <c r="D175" s="9">
        <v>8007</v>
      </c>
      <c r="E175" s="9"/>
      <c r="F175" s="9"/>
      <c r="G175" s="9"/>
      <c r="H175" s="9"/>
      <c r="I175" s="9"/>
      <c r="J175" s="9"/>
      <c r="K175" s="9"/>
      <c r="L175" s="9"/>
      <c r="M175" s="9"/>
      <c r="N175" s="11"/>
      <c r="O175" s="3"/>
      <c r="P175" s="2"/>
    </row>
    <row r="176" spans="1:16">
      <c r="A176" s="9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9"/>
      <c r="N176" s="9"/>
      <c r="O176" s="3"/>
      <c r="P176" s="2"/>
    </row>
    <row r="177" spans="1:16">
      <c r="A177" s="41" t="s">
        <v>55</v>
      </c>
      <c r="B177" s="37" t="s">
        <v>992</v>
      </c>
      <c r="C177" s="37" t="s">
        <v>804</v>
      </c>
      <c r="D177" s="37" t="s">
        <v>804</v>
      </c>
      <c r="E177" s="37" t="s">
        <v>992</v>
      </c>
      <c r="F177" s="37" t="s">
        <v>870</v>
      </c>
      <c r="G177" s="37"/>
      <c r="H177" s="37" t="s">
        <v>992</v>
      </c>
      <c r="I177" s="37"/>
      <c r="J177" s="37" t="s">
        <v>992</v>
      </c>
      <c r="K177" s="37"/>
      <c r="L177" s="37"/>
      <c r="M177" s="38">
        <v>10525</v>
      </c>
      <c r="N177" s="37" t="s">
        <v>805</v>
      </c>
      <c r="O177" s="3"/>
      <c r="P177" s="2"/>
    </row>
    <row r="178" spans="1:16">
      <c r="A178" s="38"/>
      <c r="B178" s="40">
        <v>33277</v>
      </c>
      <c r="C178" s="40">
        <v>66374</v>
      </c>
      <c r="D178" s="40">
        <v>5386</v>
      </c>
      <c r="E178" s="40">
        <v>2222</v>
      </c>
      <c r="F178" s="38"/>
      <c r="G178" s="38"/>
      <c r="H178" s="38">
        <v>503</v>
      </c>
      <c r="I178" s="38"/>
      <c r="J178" s="38">
        <v>893</v>
      </c>
      <c r="K178" s="38"/>
      <c r="L178" s="38"/>
      <c r="M178" s="38"/>
      <c r="N178" s="41"/>
      <c r="O178" s="3"/>
      <c r="P178" s="2"/>
    </row>
    <row r="179" spans="1:16">
      <c r="A179" s="9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9"/>
      <c r="N179" s="9"/>
      <c r="O179" s="3"/>
      <c r="P179" s="2"/>
    </row>
    <row r="180" spans="1:16">
      <c r="A180" s="11" t="s">
        <v>57</v>
      </c>
      <c r="B180" s="8" t="s">
        <v>432</v>
      </c>
      <c r="C180" s="8" t="s">
        <v>993</v>
      </c>
      <c r="D180" s="8" t="s">
        <v>592</v>
      </c>
      <c r="E180" s="8" t="s">
        <v>993</v>
      </c>
      <c r="F180" s="8" t="s">
        <v>432</v>
      </c>
      <c r="G180" s="8" t="s">
        <v>994</v>
      </c>
      <c r="H180" s="8" t="s">
        <v>592</v>
      </c>
      <c r="I180" s="8"/>
      <c r="J180" s="8" t="s">
        <v>592</v>
      </c>
      <c r="K180" s="8"/>
      <c r="L180" s="8"/>
      <c r="M180" s="9">
        <v>16922</v>
      </c>
      <c r="N180" s="8" t="s">
        <v>808</v>
      </c>
      <c r="O180" s="3"/>
      <c r="P180" s="2"/>
    </row>
    <row r="181" spans="1:16">
      <c r="A181" s="9"/>
      <c r="B181" s="10">
        <v>47011</v>
      </c>
      <c r="C181" s="10">
        <v>11069</v>
      </c>
      <c r="D181" s="10">
        <v>13501</v>
      </c>
      <c r="E181" s="10">
        <v>1473</v>
      </c>
      <c r="F181" s="9">
        <v>1672</v>
      </c>
      <c r="G181" s="10">
        <v>1285</v>
      </c>
      <c r="H181" s="10">
        <v>2052</v>
      </c>
      <c r="I181" s="10"/>
      <c r="J181" s="10">
        <v>3385</v>
      </c>
      <c r="K181" s="10"/>
      <c r="L181" s="9"/>
      <c r="M181" s="9"/>
      <c r="N181" s="11"/>
      <c r="O181" s="3"/>
      <c r="P181" s="2"/>
    </row>
    <row r="182" spans="1:16">
      <c r="A182" s="9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9"/>
      <c r="N182" s="9"/>
      <c r="O182" s="3"/>
      <c r="P182" s="2"/>
    </row>
    <row r="183" spans="1:16">
      <c r="A183" s="41" t="s">
        <v>60</v>
      </c>
      <c r="B183" s="37" t="s">
        <v>666</v>
      </c>
      <c r="C183" s="37" t="s">
        <v>995</v>
      </c>
      <c r="D183" s="37" t="s">
        <v>666</v>
      </c>
      <c r="E183" s="37" t="s">
        <v>666</v>
      </c>
      <c r="F183" s="37" t="s">
        <v>870</v>
      </c>
      <c r="G183" s="37"/>
      <c r="H183" s="37" t="s">
        <v>588</v>
      </c>
      <c r="I183" s="37"/>
      <c r="J183" s="37"/>
      <c r="K183" s="37"/>
      <c r="L183" s="40"/>
      <c r="M183" s="38">
        <v>28613</v>
      </c>
      <c r="N183" s="37" t="s">
        <v>667</v>
      </c>
      <c r="O183" s="3"/>
      <c r="P183" s="2"/>
    </row>
    <row r="184" spans="1:16">
      <c r="A184" s="38"/>
      <c r="B184" s="40">
        <v>59372</v>
      </c>
      <c r="C184" s="38">
        <v>23264</v>
      </c>
      <c r="D184" s="40">
        <v>4030</v>
      </c>
      <c r="E184" s="40">
        <v>3460</v>
      </c>
      <c r="F184" s="38"/>
      <c r="G184" s="38"/>
      <c r="H184" s="38">
        <v>2040</v>
      </c>
      <c r="I184" s="38"/>
      <c r="J184" s="38"/>
      <c r="K184" s="38"/>
      <c r="L184" s="38"/>
      <c r="M184" s="38"/>
      <c r="N184" s="41"/>
      <c r="O184" s="3"/>
      <c r="P184" s="2"/>
    </row>
    <row r="185" spans="1:16">
      <c r="A185" s="9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9"/>
      <c r="N185" s="9"/>
      <c r="O185" s="3"/>
      <c r="P185" s="2"/>
    </row>
    <row r="186" spans="1:16">
      <c r="A186" s="11" t="s">
        <v>61</v>
      </c>
      <c r="B186" s="8" t="s">
        <v>189</v>
      </c>
      <c r="C186" s="8" t="s">
        <v>670</v>
      </c>
      <c r="D186" s="8" t="s">
        <v>670</v>
      </c>
      <c r="E186" s="8" t="s">
        <v>671</v>
      </c>
      <c r="F186" s="8"/>
      <c r="G186" s="8" t="s">
        <v>870</v>
      </c>
      <c r="H186" s="8"/>
      <c r="I186" s="8"/>
      <c r="J186" s="8"/>
      <c r="K186" s="8"/>
      <c r="L186" s="10"/>
      <c r="M186" s="9">
        <v>25259</v>
      </c>
      <c r="N186" s="8" t="s">
        <v>672</v>
      </c>
      <c r="O186" s="3"/>
      <c r="P186" s="2"/>
    </row>
    <row r="187" spans="1:16">
      <c r="A187" s="9"/>
      <c r="B187" s="10">
        <v>30430</v>
      </c>
      <c r="C187" s="9">
        <v>77911</v>
      </c>
      <c r="D187" s="10">
        <v>7101</v>
      </c>
      <c r="E187" s="10">
        <v>6011</v>
      </c>
      <c r="F187" s="9"/>
      <c r="G187" s="9"/>
      <c r="H187" s="9"/>
      <c r="I187" s="9"/>
      <c r="J187" s="9"/>
      <c r="K187" s="9"/>
      <c r="L187" s="9"/>
      <c r="M187" s="9"/>
      <c r="N187" s="11"/>
      <c r="O187" s="3"/>
      <c r="P187" s="2"/>
    </row>
    <row r="188" spans="1:16">
      <c r="A188" s="9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9"/>
      <c r="N188" s="9"/>
      <c r="O188" s="3"/>
      <c r="P188" s="2"/>
    </row>
    <row r="189" spans="1:16">
      <c r="A189" s="41" t="s">
        <v>62</v>
      </c>
      <c r="B189" s="37" t="s">
        <v>996</v>
      </c>
      <c r="C189" s="37" t="s">
        <v>997</v>
      </c>
      <c r="D189" s="37" t="s">
        <v>997</v>
      </c>
      <c r="E189" s="37" t="s">
        <v>744</v>
      </c>
      <c r="F189" s="37"/>
      <c r="G189" s="37"/>
      <c r="H189" s="37"/>
      <c r="I189" s="37"/>
      <c r="J189" s="37"/>
      <c r="K189" s="37"/>
      <c r="L189" s="40"/>
      <c r="M189" s="38">
        <v>24543</v>
      </c>
      <c r="N189" s="37" t="s">
        <v>998</v>
      </c>
      <c r="O189" s="3"/>
      <c r="P189" s="2"/>
    </row>
    <row r="190" spans="1:16">
      <c r="A190" s="38"/>
      <c r="B190" s="40">
        <v>34655</v>
      </c>
      <c r="C190" s="40">
        <v>79128</v>
      </c>
      <c r="D190" s="40">
        <v>5750</v>
      </c>
      <c r="E190" s="40">
        <v>5958</v>
      </c>
      <c r="F190" s="38"/>
      <c r="G190" s="38"/>
      <c r="H190" s="38"/>
      <c r="I190" s="38"/>
      <c r="J190" s="38"/>
      <c r="K190" s="38"/>
      <c r="L190" s="40"/>
      <c r="M190" s="38"/>
      <c r="N190" s="41"/>
      <c r="O190" s="3"/>
      <c r="P190" s="2"/>
    </row>
    <row r="191" spans="1:16">
      <c r="A191" s="9"/>
      <c r="B191" s="26"/>
      <c r="C191" s="27"/>
      <c r="D191" s="27"/>
      <c r="E191" s="27"/>
      <c r="F191" s="27"/>
      <c r="G191" s="27"/>
      <c r="H191" s="27"/>
      <c r="I191" s="27"/>
      <c r="J191" s="27"/>
      <c r="K191" s="27"/>
      <c r="L191" s="9"/>
      <c r="M191" s="9"/>
      <c r="N191" s="9"/>
      <c r="O191" s="3"/>
      <c r="P191" s="2"/>
    </row>
    <row r="192" spans="1:16">
      <c r="A192" s="11" t="s">
        <v>64</v>
      </c>
      <c r="B192" s="8"/>
      <c r="C192" s="8" t="s">
        <v>999</v>
      </c>
      <c r="D192" s="8" t="s">
        <v>999</v>
      </c>
      <c r="E192" s="8"/>
      <c r="F192" s="8" t="s">
        <v>870</v>
      </c>
      <c r="G192" s="8"/>
      <c r="H192" s="8" t="s">
        <v>506</v>
      </c>
      <c r="I192" s="8"/>
      <c r="J192" s="8"/>
      <c r="K192" s="8"/>
      <c r="L192" s="10"/>
      <c r="M192" s="9">
        <v>53158</v>
      </c>
      <c r="N192" s="8" t="s">
        <v>507</v>
      </c>
      <c r="O192" s="3"/>
      <c r="P192" s="2"/>
    </row>
    <row r="193" spans="1:16">
      <c r="A193" s="9"/>
      <c r="B193" s="10"/>
      <c r="C193" s="10">
        <v>69762</v>
      </c>
      <c r="D193" s="10">
        <v>8437</v>
      </c>
      <c r="E193" s="10"/>
      <c r="F193" s="9"/>
      <c r="G193" s="10"/>
      <c r="H193" s="10">
        <v>2853</v>
      </c>
      <c r="I193" s="10"/>
      <c r="J193" s="10"/>
      <c r="K193" s="10"/>
      <c r="L193" s="10"/>
      <c r="M193" s="9"/>
      <c r="N193" s="9"/>
      <c r="O193" s="3"/>
      <c r="P193" s="2"/>
    </row>
    <row r="194" spans="1:16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3"/>
      <c r="P194" s="2"/>
    </row>
    <row r="195" spans="1:16">
      <c r="A195" s="11" t="s">
        <v>66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2"/>
    </row>
    <row r="196" spans="1:16">
      <c r="A196" s="9" t="s">
        <v>1000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2"/>
    </row>
    <row r="197" spans="1:16">
      <c r="A197" s="9" t="s">
        <v>1001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2"/>
    </row>
    <row r="198" spans="1:16">
      <c r="A198" s="9" t="s">
        <v>1002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2"/>
    </row>
    <row r="199" spans="1:16">
      <c r="A199" s="9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2"/>
    </row>
    <row r="200" spans="1:16">
      <c r="A200" s="72" t="s">
        <v>751</v>
      </c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2"/>
    </row>
    <row r="201" spans="1:16">
      <c r="A201" s="9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2"/>
    </row>
    <row r="202" spans="1:16">
      <c r="A202" s="9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2"/>
    </row>
    <row r="203" spans="1:1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2"/>
    </row>
    <row r="204" spans="1:1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2"/>
    </row>
    <row r="205" spans="1:1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2"/>
    </row>
    <row r="206" spans="1:1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2"/>
    </row>
    <row r="207" spans="1:16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2"/>
    </row>
    <row r="208" spans="1:16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</sheetData>
  <hyperlinks>
    <hyperlink ref="A200" r:id="rId1"/>
  </hyperlinks>
  <pageMargins left="0.7" right="0.7" top="0.75" bottom="0.75" header="0.3" footer="0.3"/>
  <pageSetup paperSize="5" scale="60" fitToHeight="4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6"/>
  <sheetViews>
    <sheetView workbookViewId="0"/>
  </sheetViews>
  <sheetFormatPr defaultColWidth="15.77734375" defaultRowHeight="15.75"/>
  <cols>
    <col min="1" max="1" width="17.77734375" customWidth="1"/>
    <col min="13" max="13" width="25.77734375" customWidth="1"/>
  </cols>
  <sheetData>
    <row r="1" spans="1:16" ht="20.25">
      <c r="A1" s="29" t="s">
        <v>0</v>
      </c>
      <c r="B1" s="5"/>
      <c r="C1" s="5"/>
      <c r="D1" s="5"/>
      <c r="E1" s="5"/>
      <c r="F1" s="5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0.25">
      <c r="A2" s="30" t="s">
        <v>1095</v>
      </c>
      <c r="B2" s="5"/>
      <c r="C2" s="5"/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9.25">
      <c r="A4" s="31" t="s">
        <v>1</v>
      </c>
      <c r="B4" s="32" t="s">
        <v>73</v>
      </c>
      <c r="C4" s="33" t="s">
        <v>2</v>
      </c>
      <c r="D4" s="33" t="s">
        <v>80</v>
      </c>
      <c r="E4" s="33" t="s">
        <v>760</v>
      </c>
      <c r="F4" s="33" t="s">
        <v>825</v>
      </c>
      <c r="G4" s="33" t="s">
        <v>826</v>
      </c>
      <c r="H4" s="34" t="s">
        <v>196</v>
      </c>
      <c r="I4" s="34" t="s">
        <v>200</v>
      </c>
      <c r="J4" s="33" t="s">
        <v>201</v>
      </c>
      <c r="K4" s="33" t="s">
        <v>195</v>
      </c>
      <c r="L4" s="35" t="s">
        <v>197</v>
      </c>
      <c r="M4" s="33" t="s">
        <v>3</v>
      </c>
      <c r="N4" s="3"/>
      <c r="O4" s="3"/>
      <c r="P4" s="3"/>
    </row>
    <row r="5" spans="1:16">
      <c r="A5" s="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3"/>
      <c r="N5" s="3"/>
      <c r="O5" s="3"/>
      <c r="P5" s="3"/>
    </row>
    <row r="6" spans="1:16">
      <c r="A6" s="7" t="s">
        <v>4</v>
      </c>
      <c r="B6" s="8" t="s">
        <v>1015</v>
      </c>
      <c r="C6" s="8" t="s">
        <v>684</v>
      </c>
      <c r="D6" s="8" t="s">
        <v>74</v>
      </c>
      <c r="E6" s="8" t="s">
        <v>684</v>
      </c>
      <c r="F6" s="8"/>
      <c r="G6" s="8" t="s">
        <v>1016</v>
      </c>
      <c r="H6" s="8"/>
      <c r="I6" s="8"/>
      <c r="J6" s="8"/>
      <c r="K6" s="8"/>
      <c r="L6" s="9">
        <v>11066</v>
      </c>
      <c r="M6" s="8" t="s">
        <v>685</v>
      </c>
      <c r="N6" s="3"/>
      <c r="O6" s="3"/>
      <c r="P6" s="3"/>
    </row>
    <row r="7" spans="1:16">
      <c r="A7" s="3"/>
      <c r="B7" s="10">
        <v>25768</v>
      </c>
      <c r="C7" s="10">
        <v>46772</v>
      </c>
      <c r="D7" s="10">
        <v>2375</v>
      </c>
      <c r="E7" s="10">
        <v>7766</v>
      </c>
      <c r="F7" s="9"/>
      <c r="G7" s="9">
        <v>2516</v>
      </c>
      <c r="H7" s="9"/>
      <c r="I7" s="9"/>
      <c r="J7" s="9"/>
      <c r="K7" s="10"/>
      <c r="L7" s="9"/>
      <c r="M7" s="11"/>
      <c r="N7" s="3"/>
      <c r="O7" s="3"/>
      <c r="P7" s="3"/>
    </row>
    <row r="8" spans="1:16">
      <c r="A8" s="3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3"/>
      <c r="O8" s="3"/>
      <c r="P8" s="3"/>
    </row>
    <row r="9" spans="1:16">
      <c r="A9" s="36" t="s">
        <v>6</v>
      </c>
      <c r="B9" s="37" t="s">
        <v>1017</v>
      </c>
      <c r="C9" s="37" t="s">
        <v>908</v>
      </c>
      <c r="D9" s="37" t="s">
        <v>909</v>
      </c>
      <c r="E9" s="37" t="s">
        <v>908</v>
      </c>
      <c r="F9" s="37"/>
      <c r="G9" s="37" t="s">
        <v>1018</v>
      </c>
      <c r="H9" s="37"/>
      <c r="I9" s="37"/>
      <c r="J9" s="37"/>
      <c r="K9" s="37"/>
      <c r="L9" s="38">
        <v>10760</v>
      </c>
      <c r="M9" s="37" t="s">
        <v>911</v>
      </c>
      <c r="N9" s="3"/>
      <c r="O9" s="3"/>
      <c r="P9" s="3"/>
    </row>
    <row r="10" spans="1:16">
      <c r="A10" s="39"/>
      <c r="B10" s="40">
        <v>26295</v>
      </c>
      <c r="C10" s="40">
        <v>39194</v>
      </c>
      <c r="D10" s="40">
        <v>1443</v>
      </c>
      <c r="E10" s="40">
        <v>7529</v>
      </c>
      <c r="F10" s="38"/>
      <c r="G10" s="40">
        <v>2862</v>
      </c>
      <c r="H10" s="40"/>
      <c r="I10" s="40"/>
      <c r="J10" s="40"/>
      <c r="K10" s="40"/>
      <c r="L10" s="38"/>
      <c r="M10" s="41"/>
      <c r="N10" s="3"/>
      <c r="O10" s="3"/>
      <c r="P10" s="3"/>
    </row>
    <row r="11" spans="1:16">
      <c r="A11" s="3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3"/>
      <c r="O11" s="3"/>
      <c r="P11" s="3"/>
    </row>
    <row r="12" spans="1:16">
      <c r="A12" s="7" t="s">
        <v>7</v>
      </c>
      <c r="B12" s="8" t="s">
        <v>1019</v>
      </c>
      <c r="C12" s="8" t="s">
        <v>604</v>
      </c>
      <c r="D12" s="8" t="s">
        <v>605</v>
      </c>
      <c r="E12" s="8" t="s">
        <v>604</v>
      </c>
      <c r="F12" s="8"/>
      <c r="G12" s="8" t="s">
        <v>1020</v>
      </c>
      <c r="H12" s="8"/>
      <c r="I12" s="8"/>
      <c r="J12" s="8"/>
      <c r="K12" s="8"/>
      <c r="L12" s="9">
        <v>10432</v>
      </c>
      <c r="M12" s="8" t="s">
        <v>688</v>
      </c>
      <c r="N12" s="3"/>
      <c r="O12" s="3"/>
      <c r="P12" s="3"/>
    </row>
    <row r="13" spans="1:16">
      <c r="A13" s="3"/>
      <c r="B13" s="10">
        <v>20068</v>
      </c>
      <c r="C13" s="10">
        <v>33774</v>
      </c>
      <c r="D13" s="10">
        <v>1445</v>
      </c>
      <c r="E13" s="10">
        <v>5927</v>
      </c>
      <c r="F13" s="9"/>
      <c r="G13" s="10">
        <v>1988</v>
      </c>
      <c r="H13" s="10"/>
      <c r="I13" s="10"/>
      <c r="J13" s="10"/>
      <c r="K13" s="10"/>
      <c r="L13" s="9"/>
      <c r="M13" s="11"/>
      <c r="N13" s="3"/>
      <c r="O13" s="3"/>
      <c r="P13" s="3"/>
    </row>
    <row r="14" spans="1:16">
      <c r="A14" s="3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3"/>
      <c r="O14" s="3"/>
      <c r="P14" s="3"/>
    </row>
    <row r="15" spans="1:16">
      <c r="A15" s="36" t="s">
        <v>9</v>
      </c>
      <c r="B15" s="37" t="s">
        <v>1021</v>
      </c>
      <c r="C15" s="37" t="s">
        <v>520</v>
      </c>
      <c r="D15" s="37" t="s">
        <v>482</v>
      </c>
      <c r="E15" s="37" t="s">
        <v>520</v>
      </c>
      <c r="F15" s="37"/>
      <c r="G15" s="37" t="s">
        <v>1022</v>
      </c>
      <c r="H15" s="37"/>
      <c r="I15" s="37"/>
      <c r="J15" s="37"/>
      <c r="K15" s="37"/>
      <c r="L15" s="38">
        <v>9378</v>
      </c>
      <c r="M15" s="37" t="s">
        <v>521</v>
      </c>
      <c r="N15" s="3"/>
      <c r="O15" s="3"/>
      <c r="P15" s="3"/>
    </row>
    <row r="16" spans="1:16">
      <c r="A16" s="39"/>
      <c r="B16" s="40">
        <v>18550</v>
      </c>
      <c r="C16" s="40">
        <v>34146</v>
      </c>
      <c r="D16" s="40">
        <v>1361</v>
      </c>
      <c r="E16" s="40">
        <v>6197</v>
      </c>
      <c r="F16" s="38"/>
      <c r="G16" s="38">
        <v>1882</v>
      </c>
      <c r="H16" s="38"/>
      <c r="I16" s="38"/>
      <c r="J16" s="38"/>
      <c r="K16" s="40"/>
      <c r="L16" s="38"/>
      <c r="M16" s="41"/>
      <c r="N16" s="3"/>
      <c r="O16" s="3"/>
      <c r="P16" s="3"/>
    </row>
    <row r="17" spans="1:16">
      <c r="A17" s="3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3"/>
      <c r="O17" s="3"/>
      <c r="P17" s="3"/>
    </row>
    <row r="18" spans="1:16">
      <c r="A18" s="7" t="s">
        <v>11</v>
      </c>
      <c r="B18" s="10" t="s">
        <v>1023</v>
      </c>
      <c r="C18" s="10" t="s">
        <v>12</v>
      </c>
      <c r="D18" s="10"/>
      <c r="E18" s="10" t="s">
        <v>12</v>
      </c>
      <c r="F18" s="10" t="s">
        <v>1023</v>
      </c>
      <c r="G18" s="10" t="s">
        <v>915</v>
      </c>
      <c r="H18" s="10"/>
      <c r="I18" s="10"/>
      <c r="J18" s="10"/>
      <c r="K18" s="10"/>
      <c r="L18" s="10">
        <v>11527</v>
      </c>
      <c r="M18" s="10" t="s">
        <v>13</v>
      </c>
      <c r="N18" s="3"/>
      <c r="O18" s="3"/>
      <c r="P18" s="3"/>
    </row>
    <row r="19" spans="1:16">
      <c r="A19" s="3"/>
      <c r="B19" s="10">
        <v>31564</v>
      </c>
      <c r="C19" s="10">
        <v>43906</v>
      </c>
      <c r="D19" s="10"/>
      <c r="E19" s="10">
        <v>7429</v>
      </c>
      <c r="F19" s="10">
        <v>951</v>
      </c>
      <c r="G19" s="10">
        <v>2266</v>
      </c>
      <c r="H19" s="10"/>
      <c r="I19" s="10"/>
      <c r="J19" s="10"/>
      <c r="K19" s="9"/>
      <c r="L19" s="9"/>
      <c r="M19" s="9"/>
      <c r="N19" s="3"/>
      <c r="O19" s="3"/>
      <c r="P19" s="3"/>
    </row>
    <row r="20" spans="1:16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9"/>
      <c r="M20" s="9"/>
      <c r="N20" s="3"/>
      <c r="O20" s="3"/>
      <c r="P20" s="3"/>
    </row>
    <row r="21" spans="1:16">
      <c r="A21" s="36" t="s">
        <v>15</v>
      </c>
      <c r="B21" s="40" t="s">
        <v>1024</v>
      </c>
      <c r="C21" s="40" t="s">
        <v>16</v>
      </c>
      <c r="D21" s="40"/>
      <c r="E21" s="40" t="s">
        <v>16</v>
      </c>
      <c r="F21" s="40" t="s">
        <v>1025</v>
      </c>
      <c r="G21" s="40" t="s">
        <v>835</v>
      </c>
      <c r="H21" s="40"/>
      <c r="I21" s="40"/>
      <c r="J21" s="40"/>
      <c r="K21" s="40"/>
      <c r="L21" s="40">
        <v>11828</v>
      </c>
      <c r="M21" s="40" t="s">
        <v>293</v>
      </c>
      <c r="N21" s="3"/>
      <c r="O21" s="3"/>
      <c r="P21" s="3"/>
    </row>
    <row r="22" spans="1:16">
      <c r="A22" s="39"/>
      <c r="B22" s="40">
        <v>28399</v>
      </c>
      <c r="C22" s="40">
        <v>40259</v>
      </c>
      <c r="D22" s="40"/>
      <c r="E22" s="40">
        <v>6418</v>
      </c>
      <c r="F22" s="40">
        <v>603</v>
      </c>
      <c r="G22" s="38">
        <v>2274</v>
      </c>
      <c r="H22" s="38"/>
      <c r="I22" s="38"/>
      <c r="J22" s="38"/>
      <c r="K22" s="40"/>
      <c r="L22" s="38"/>
      <c r="M22" s="38"/>
      <c r="N22" s="3"/>
      <c r="O22" s="3"/>
      <c r="P22" s="3"/>
    </row>
    <row r="23" spans="1:16">
      <c r="A23" s="3"/>
      <c r="B23" s="3"/>
      <c r="C23" s="3"/>
      <c r="D23" s="3"/>
      <c r="E23" s="3"/>
      <c r="F23" s="3"/>
      <c r="G23" s="3"/>
      <c r="H23" s="3"/>
      <c r="I23" s="3"/>
      <c r="J23" s="3"/>
      <c r="K23" s="9"/>
      <c r="L23" s="9"/>
      <c r="M23" s="9"/>
      <c r="N23" s="3"/>
      <c r="O23" s="3"/>
      <c r="P23" s="3"/>
    </row>
    <row r="24" spans="1:16">
      <c r="A24" s="7" t="s">
        <v>18</v>
      </c>
      <c r="B24" s="8" t="s">
        <v>162</v>
      </c>
      <c r="C24" s="8" t="s">
        <v>692</v>
      </c>
      <c r="D24" s="8" t="s">
        <v>162</v>
      </c>
      <c r="E24" s="8" t="s">
        <v>692</v>
      </c>
      <c r="F24" s="8" t="s">
        <v>162</v>
      </c>
      <c r="G24" s="8" t="s">
        <v>1026</v>
      </c>
      <c r="H24" s="8"/>
      <c r="I24" s="8"/>
      <c r="J24" s="8"/>
      <c r="K24" s="10"/>
      <c r="L24" s="10">
        <v>10130</v>
      </c>
      <c r="M24" s="8" t="s">
        <v>693</v>
      </c>
      <c r="N24" s="3"/>
      <c r="O24" s="3"/>
      <c r="P24" s="3"/>
    </row>
    <row r="25" spans="1:16">
      <c r="A25" s="3"/>
      <c r="B25" s="10">
        <v>33526</v>
      </c>
      <c r="C25" s="10">
        <v>44794</v>
      </c>
      <c r="D25" s="10">
        <v>576</v>
      </c>
      <c r="E25" s="10">
        <v>6605</v>
      </c>
      <c r="F25" s="10">
        <v>977</v>
      </c>
      <c r="G25" s="10">
        <v>1899</v>
      </c>
      <c r="H25" s="10"/>
      <c r="I25" s="10"/>
      <c r="J25" s="10"/>
      <c r="K25" s="10"/>
      <c r="L25" s="9"/>
      <c r="M25" s="11"/>
      <c r="N25" s="3"/>
      <c r="O25" s="3"/>
      <c r="P25" s="3"/>
    </row>
    <row r="26" spans="1:1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9"/>
      <c r="M26" s="9"/>
      <c r="N26" s="3"/>
      <c r="O26" s="3"/>
      <c r="P26" s="3"/>
    </row>
    <row r="27" spans="1:16">
      <c r="A27" s="36" t="s">
        <v>21</v>
      </c>
      <c r="B27" s="37" t="s">
        <v>1027</v>
      </c>
      <c r="C27" s="37" t="s">
        <v>455</v>
      </c>
      <c r="D27" s="37"/>
      <c r="E27" s="37" t="s">
        <v>455</v>
      </c>
      <c r="F27" s="37" t="s">
        <v>1028</v>
      </c>
      <c r="G27" s="37"/>
      <c r="H27" s="37"/>
      <c r="I27" s="37"/>
      <c r="J27" s="37"/>
      <c r="K27" s="37"/>
      <c r="L27" s="40">
        <v>13306</v>
      </c>
      <c r="M27" s="37" t="s">
        <v>457</v>
      </c>
      <c r="N27" s="3"/>
      <c r="O27" s="3"/>
      <c r="P27" s="3"/>
    </row>
    <row r="28" spans="1:16">
      <c r="A28" s="39"/>
      <c r="B28" s="40">
        <v>29372</v>
      </c>
      <c r="C28" s="40">
        <v>42101</v>
      </c>
      <c r="D28" s="40"/>
      <c r="E28" s="40">
        <v>6669</v>
      </c>
      <c r="F28" s="40">
        <v>798</v>
      </c>
      <c r="G28" s="38"/>
      <c r="H28" s="38"/>
      <c r="I28" s="38"/>
      <c r="J28" s="38"/>
      <c r="K28" s="40"/>
      <c r="L28" s="38"/>
      <c r="M28" s="41"/>
      <c r="N28" s="3"/>
      <c r="O28" s="3"/>
      <c r="P28" s="3"/>
    </row>
    <row r="29" spans="1:16">
      <c r="A29" s="3"/>
      <c r="B29" s="3"/>
      <c r="C29" s="3"/>
      <c r="D29" s="3"/>
      <c r="E29" s="3"/>
      <c r="F29" s="3"/>
      <c r="G29" s="3"/>
      <c r="H29" s="3"/>
      <c r="I29" s="3"/>
      <c r="J29" s="3"/>
      <c r="K29" s="9"/>
      <c r="L29" s="9"/>
      <c r="M29" s="9"/>
      <c r="N29" s="3"/>
      <c r="O29" s="3"/>
      <c r="P29" s="3"/>
    </row>
    <row r="30" spans="1:16">
      <c r="A30" s="7" t="s">
        <v>23</v>
      </c>
      <c r="B30" s="8" t="s">
        <v>1029</v>
      </c>
      <c r="C30" s="8" t="s">
        <v>378</v>
      </c>
      <c r="D30" s="8"/>
      <c r="E30" s="8" t="s">
        <v>378</v>
      </c>
      <c r="F30" s="8" t="s">
        <v>1030</v>
      </c>
      <c r="G30" s="8" t="s">
        <v>513</v>
      </c>
      <c r="H30" s="8"/>
      <c r="I30" s="8"/>
      <c r="J30" s="8"/>
      <c r="K30" s="8"/>
      <c r="L30" s="10">
        <v>11142</v>
      </c>
      <c r="M30" s="8" t="s">
        <v>381</v>
      </c>
      <c r="N30" s="3"/>
      <c r="O30" s="3"/>
      <c r="P30" s="3"/>
    </row>
    <row r="31" spans="1:16">
      <c r="A31" s="3"/>
      <c r="B31" s="10">
        <v>29731</v>
      </c>
      <c r="C31" s="10">
        <v>54215</v>
      </c>
      <c r="D31" s="10"/>
      <c r="E31" s="10">
        <v>6732</v>
      </c>
      <c r="F31" s="10">
        <v>599</v>
      </c>
      <c r="G31" s="10">
        <v>2046</v>
      </c>
      <c r="H31" s="10"/>
      <c r="I31" s="10"/>
      <c r="J31" s="10"/>
      <c r="K31" s="10"/>
      <c r="L31" s="9"/>
      <c r="M31" s="11"/>
      <c r="N31" s="3"/>
      <c r="O31" s="3"/>
      <c r="P31" s="3"/>
    </row>
    <row r="32" spans="1:16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9"/>
      <c r="N32" s="3"/>
      <c r="O32" s="3"/>
      <c r="P32" s="3"/>
    </row>
    <row r="33" spans="1:16">
      <c r="A33" s="36" t="s">
        <v>24</v>
      </c>
      <c r="B33" s="37" t="s">
        <v>1031</v>
      </c>
      <c r="C33" s="37" t="s">
        <v>1032</v>
      </c>
      <c r="D33" s="37" t="s">
        <v>1096</v>
      </c>
      <c r="E33" s="37" t="s">
        <v>1032</v>
      </c>
      <c r="F33" s="37" t="s">
        <v>1033</v>
      </c>
      <c r="G33" s="37" t="s">
        <v>1034</v>
      </c>
      <c r="H33" s="37"/>
      <c r="I33" s="37"/>
      <c r="J33" s="37"/>
      <c r="K33" s="37"/>
      <c r="L33" s="40">
        <v>17023</v>
      </c>
      <c r="M33" s="37" t="s">
        <v>1035</v>
      </c>
      <c r="N33" s="3"/>
      <c r="O33" s="3"/>
      <c r="P33" s="3"/>
    </row>
    <row r="34" spans="1:16">
      <c r="A34" s="39"/>
      <c r="B34" s="40">
        <v>47423</v>
      </c>
      <c r="C34" s="40">
        <v>3609</v>
      </c>
      <c r="D34" s="40">
        <v>864</v>
      </c>
      <c r="E34" s="40">
        <v>1001</v>
      </c>
      <c r="F34" s="40">
        <v>729</v>
      </c>
      <c r="G34" s="38">
        <v>502</v>
      </c>
      <c r="H34" s="38"/>
      <c r="I34" s="38"/>
      <c r="J34" s="38"/>
      <c r="K34" s="40"/>
      <c r="L34" s="38"/>
      <c r="M34" s="41"/>
      <c r="N34" s="3"/>
      <c r="O34" s="3"/>
      <c r="P34" s="3"/>
    </row>
    <row r="35" spans="1:1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9"/>
      <c r="M35" s="9"/>
      <c r="N35" s="3"/>
      <c r="O35" s="3"/>
      <c r="P35" s="3"/>
    </row>
    <row r="36" spans="1:16">
      <c r="A36" s="3" t="s">
        <v>26</v>
      </c>
      <c r="B36" s="10" t="s">
        <v>1036</v>
      </c>
      <c r="C36" s="10" t="s">
        <v>528</v>
      </c>
      <c r="D36" s="10"/>
      <c r="E36" s="10" t="s">
        <v>528</v>
      </c>
      <c r="F36" s="10" t="s">
        <v>1036</v>
      </c>
      <c r="G36" s="10"/>
      <c r="H36" s="10"/>
      <c r="I36" s="10"/>
      <c r="J36" s="10"/>
      <c r="K36" s="10"/>
      <c r="L36" s="9">
        <v>13999</v>
      </c>
      <c r="M36" s="8" t="s">
        <v>614</v>
      </c>
      <c r="N36" s="3"/>
      <c r="O36" s="3"/>
      <c r="P36" s="3"/>
    </row>
    <row r="37" spans="1:16">
      <c r="A37" s="7"/>
      <c r="B37" s="11">
        <v>22959</v>
      </c>
      <c r="C37" s="10">
        <v>28455</v>
      </c>
      <c r="D37" s="10"/>
      <c r="E37" s="10">
        <v>5432</v>
      </c>
      <c r="F37" s="11">
        <v>678</v>
      </c>
      <c r="G37" s="11"/>
      <c r="H37" s="11"/>
      <c r="I37" s="11"/>
      <c r="J37" s="11"/>
      <c r="K37" s="11"/>
      <c r="L37" s="9"/>
      <c r="M37" s="11"/>
      <c r="N37" s="3"/>
      <c r="O37" s="3"/>
      <c r="P37" s="3"/>
    </row>
    <row r="38" spans="1:16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9"/>
      <c r="M38" s="9"/>
      <c r="N38" s="3"/>
      <c r="O38" s="3"/>
      <c r="P38" s="3"/>
    </row>
    <row r="39" spans="1:16">
      <c r="A39" s="39" t="s">
        <v>28</v>
      </c>
      <c r="B39" s="40" t="s">
        <v>925</v>
      </c>
      <c r="C39" s="40" t="s">
        <v>1037</v>
      </c>
      <c r="D39" s="40" t="s">
        <v>462</v>
      </c>
      <c r="E39" s="40"/>
      <c r="F39" s="40" t="s">
        <v>926</v>
      </c>
      <c r="G39" s="40"/>
      <c r="H39" s="40"/>
      <c r="I39" s="40"/>
      <c r="J39" s="40"/>
      <c r="K39" s="40"/>
      <c r="L39" s="38">
        <v>15557</v>
      </c>
      <c r="M39" s="37" t="s">
        <v>768</v>
      </c>
      <c r="N39" s="3"/>
      <c r="O39" s="3"/>
      <c r="P39" s="3"/>
    </row>
    <row r="40" spans="1:16">
      <c r="A40" s="36"/>
      <c r="B40" s="40">
        <v>36408</v>
      </c>
      <c r="C40" s="38">
        <v>2166</v>
      </c>
      <c r="D40" s="38">
        <v>587</v>
      </c>
      <c r="E40" s="40"/>
      <c r="F40" s="38">
        <v>535</v>
      </c>
      <c r="G40" s="40"/>
      <c r="H40" s="40"/>
      <c r="I40" s="40"/>
      <c r="J40" s="40"/>
      <c r="K40" s="40"/>
      <c r="L40" s="38"/>
      <c r="M40" s="41"/>
      <c r="N40" s="3"/>
      <c r="O40" s="3"/>
      <c r="P40" s="3"/>
    </row>
    <row r="41" spans="1:16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9"/>
      <c r="N41" s="3"/>
      <c r="O41" s="3"/>
      <c r="P41" s="3"/>
    </row>
    <row r="42" spans="1:16">
      <c r="A42" s="3" t="s">
        <v>29</v>
      </c>
      <c r="B42" s="10" t="s">
        <v>927</v>
      </c>
      <c r="C42" s="10"/>
      <c r="D42" s="10"/>
      <c r="E42" s="10"/>
      <c r="F42" s="10" t="s">
        <v>927</v>
      </c>
      <c r="G42" s="10"/>
      <c r="H42" s="10"/>
      <c r="I42" s="10"/>
      <c r="J42" s="10"/>
      <c r="K42" s="10"/>
      <c r="L42" s="9">
        <v>24638</v>
      </c>
      <c r="M42" s="8" t="s">
        <v>929</v>
      </c>
      <c r="N42" s="3"/>
      <c r="O42" s="3"/>
      <c r="P42" s="3"/>
    </row>
    <row r="43" spans="1:16">
      <c r="A43" s="7"/>
      <c r="B43" s="10">
        <v>41546</v>
      </c>
      <c r="C43" s="9"/>
      <c r="D43" s="9"/>
      <c r="E43" s="10"/>
      <c r="F43" s="9">
        <v>1584</v>
      </c>
      <c r="G43" s="9"/>
      <c r="H43" s="9"/>
      <c r="I43" s="9"/>
      <c r="J43" s="9"/>
      <c r="K43" s="10"/>
      <c r="L43" s="9"/>
      <c r="M43" s="11"/>
      <c r="N43" s="3"/>
      <c r="O43" s="3"/>
      <c r="P43" s="3"/>
    </row>
    <row r="44" spans="1:16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9"/>
      <c r="M44" s="11"/>
      <c r="N44" s="3"/>
      <c r="O44" s="3"/>
      <c r="P44" s="3"/>
    </row>
    <row r="45" spans="1:16">
      <c r="A45" s="39" t="s">
        <v>32</v>
      </c>
      <c r="B45" s="37" t="s">
        <v>930</v>
      </c>
      <c r="C45" s="37" t="s">
        <v>1038</v>
      </c>
      <c r="D45" s="37" t="s">
        <v>1097</v>
      </c>
      <c r="E45" s="37" t="s">
        <v>1038</v>
      </c>
      <c r="F45" s="40" t="s">
        <v>1039</v>
      </c>
      <c r="G45" s="37"/>
      <c r="H45" s="37"/>
      <c r="I45" s="37"/>
      <c r="J45" s="37"/>
      <c r="K45" s="37"/>
      <c r="L45" s="38">
        <v>13373</v>
      </c>
      <c r="M45" s="40" t="s">
        <v>617</v>
      </c>
      <c r="N45" s="3"/>
      <c r="O45" s="3"/>
      <c r="P45" s="3"/>
    </row>
    <row r="46" spans="1:16">
      <c r="A46" s="39"/>
      <c r="B46" s="40">
        <v>32046</v>
      </c>
      <c r="C46" s="38">
        <v>8609</v>
      </c>
      <c r="D46" s="38">
        <v>1603</v>
      </c>
      <c r="E46" s="40">
        <v>1661</v>
      </c>
      <c r="F46" s="38">
        <v>1262</v>
      </c>
      <c r="G46" s="38"/>
      <c r="H46" s="38"/>
      <c r="I46" s="38"/>
      <c r="J46" s="38"/>
      <c r="K46" s="38"/>
      <c r="L46" s="38"/>
      <c r="M46" s="41"/>
      <c r="N46" s="3"/>
      <c r="O46" s="3"/>
      <c r="P46" s="3"/>
    </row>
    <row r="47" spans="1:16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9"/>
      <c r="M47" s="11"/>
      <c r="N47" s="3"/>
      <c r="O47" s="3"/>
      <c r="P47" s="3"/>
    </row>
    <row r="48" spans="1:16">
      <c r="A48" s="3" t="s">
        <v>33</v>
      </c>
      <c r="B48" s="8"/>
      <c r="C48" s="8" t="s">
        <v>620</v>
      </c>
      <c r="D48" s="8" t="s">
        <v>621</v>
      </c>
      <c r="E48" s="8" t="s">
        <v>620</v>
      </c>
      <c r="F48" s="8"/>
      <c r="G48" s="8"/>
      <c r="H48" s="8"/>
      <c r="I48" s="8"/>
      <c r="J48" s="8"/>
      <c r="K48" s="10"/>
      <c r="L48" s="9">
        <v>28593</v>
      </c>
      <c r="M48" s="10" t="s">
        <v>701</v>
      </c>
      <c r="N48" s="3"/>
      <c r="O48" s="3"/>
      <c r="P48" s="3"/>
    </row>
    <row r="49" spans="1:16">
      <c r="A49" s="3"/>
      <c r="B49" s="9"/>
      <c r="C49" s="9">
        <v>18381</v>
      </c>
      <c r="D49" s="9">
        <v>1206</v>
      </c>
      <c r="E49" s="10">
        <v>4236</v>
      </c>
      <c r="F49" s="9"/>
      <c r="G49" s="9"/>
      <c r="H49" s="9"/>
      <c r="I49" s="9"/>
      <c r="J49" s="9"/>
      <c r="K49" s="10"/>
      <c r="L49" s="9"/>
      <c r="M49" s="11"/>
      <c r="N49" s="3"/>
      <c r="O49" s="3"/>
      <c r="P49" s="3"/>
    </row>
    <row r="50" spans="1:1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11"/>
      <c r="N50" s="3"/>
      <c r="O50" s="3"/>
      <c r="P50" s="3"/>
    </row>
    <row r="51" spans="1:16">
      <c r="A51" s="36" t="s">
        <v>35</v>
      </c>
      <c r="B51" s="37" t="s">
        <v>36</v>
      </c>
      <c r="C51" s="37"/>
      <c r="D51" s="37" t="s">
        <v>120</v>
      </c>
      <c r="E51" s="37"/>
      <c r="F51" s="37" t="s">
        <v>36</v>
      </c>
      <c r="G51" s="37"/>
      <c r="H51" s="37"/>
      <c r="I51" s="37"/>
      <c r="J51" s="37"/>
      <c r="K51" s="37"/>
      <c r="L51" s="38">
        <v>14010</v>
      </c>
      <c r="M51" s="37" t="s">
        <v>1040</v>
      </c>
      <c r="N51" s="3"/>
      <c r="O51" s="3"/>
      <c r="P51" s="3"/>
    </row>
    <row r="52" spans="1:16">
      <c r="A52" s="39"/>
      <c r="B52" s="40">
        <v>23958</v>
      </c>
      <c r="C52" s="38"/>
      <c r="D52" s="38">
        <v>568</v>
      </c>
      <c r="E52" s="38"/>
      <c r="F52" s="38">
        <v>467</v>
      </c>
      <c r="G52" s="38"/>
      <c r="H52" s="38"/>
      <c r="I52" s="38"/>
      <c r="J52" s="38"/>
      <c r="K52" s="40"/>
      <c r="L52" s="38"/>
      <c r="M52" s="38"/>
      <c r="N52" s="3"/>
      <c r="O52" s="3"/>
      <c r="P52" s="3"/>
    </row>
    <row r="53" spans="1:16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9"/>
      <c r="M53" s="11"/>
      <c r="N53" s="3"/>
      <c r="O53" s="3"/>
      <c r="P53" s="3"/>
    </row>
    <row r="54" spans="1:16">
      <c r="A54" s="7" t="s">
        <v>38</v>
      </c>
      <c r="B54" s="8" t="s">
        <v>846</v>
      </c>
      <c r="C54" s="8" t="s">
        <v>1041</v>
      </c>
      <c r="D54" s="8" t="s">
        <v>817</v>
      </c>
      <c r="E54" s="8" t="s">
        <v>932</v>
      </c>
      <c r="F54" s="8" t="s">
        <v>846</v>
      </c>
      <c r="G54" s="8"/>
      <c r="H54" s="8"/>
      <c r="I54" s="8"/>
      <c r="J54" s="8"/>
      <c r="K54" s="8" t="s">
        <v>1042</v>
      </c>
      <c r="L54" s="9">
        <v>11257</v>
      </c>
      <c r="M54" s="8" t="s">
        <v>933</v>
      </c>
      <c r="N54" s="3"/>
      <c r="O54" s="3"/>
      <c r="P54" s="3"/>
    </row>
    <row r="55" spans="1:16">
      <c r="A55" s="3"/>
      <c r="B55" s="10">
        <v>25632</v>
      </c>
      <c r="C55" s="9">
        <v>1424</v>
      </c>
      <c r="D55" s="9">
        <v>287</v>
      </c>
      <c r="E55" s="10">
        <v>404</v>
      </c>
      <c r="F55" s="9">
        <v>610</v>
      </c>
      <c r="G55" s="11"/>
      <c r="H55" s="11"/>
      <c r="I55" s="11"/>
      <c r="J55" s="11"/>
      <c r="K55" s="11">
        <v>122</v>
      </c>
      <c r="L55" s="9"/>
      <c r="M55" s="9"/>
      <c r="N55" s="3"/>
      <c r="O55" s="3"/>
      <c r="P55" s="3"/>
    </row>
    <row r="56" spans="1:1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9"/>
      <c r="M56" s="11"/>
      <c r="N56" s="3"/>
      <c r="O56" s="3"/>
      <c r="P56" s="3"/>
    </row>
    <row r="57" spans="1:16">
      <c r="A57" s="36" t="s">
        <v>41</v>
      </c>
      <c r="B57" s="37" t="s">
        <v>534</v>
      </c>
      <c r="C57" s="37" t="s">
        <v>1043</v>
      </c>
      <c r="D57" s="37"/>
      <c r="E57" s="37" t="s">
        <v>771</v>
      </c>
      <c r="F57" s="37" t="s">
        <v>1044</v>
      </c>
      <c r="G57" s="37"/>
      <c r="H57" s="37"/>
      <c r="I57" s="37"/>
      <c r="J57" s="37" t="s">
        <v>1098</v>
      </c>
      <c r="K57" s="37"/>
      <c r="L57" s="38">
        <v>14254</v>
      </c>
      <c r="M57" s="37" t="s">
        <v>42</v>
      </c>
      <c r="N57" s="3"/>
      <c r="O57" s="3"/>
      <c r="P57" s="3"/>
    </row>
    <row r="58" spans="1:16">
      <c r="A58" s="39"/>
      <c r="B58" s="40">
        <v>46905</v>
      </c>
      <c r="C58" s="40">
        <v>1974</v>
      </c>
      <c r="D58" s="40"/>
      <c r="E58" s="38">
        <v>416</v>
      </c>
      <c r="F58" s="40">
        <v>747</v>
      </c>
      <c r="G58" s="38"/>
      <c r="H58" s="38"/>
      <c r="I58" s="38"/>
      <c r="J58" s="38">
        <v>366</v>
      </c>
      <c r="K58" s="40"/>
      <c r="L58" s="40"/>
      <c r="M58" s="38"/>
      <c r="N58" s="3"/>
      <c r="O58" s="3"/>
      <c r="P58" s="3"/>
    </row>
    <row r="59" spans="1:1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9"/>
      <c r="M59" s="9"/>
      <c r="N59" s="3"/>
      <c r="O59" s="3"/>
      <c r="P59" s="3"/>
    </row>
    <row r="60" spans="1:16">
      <c r="A60" s="3" t="s">
        <v>45</v>
      </c>
      <c r="B60" s="10" t="s">
        <v>385</v>
      </c>
      <c r="C60" s="10" t="s">
        <v>1045</v>
      </c>
      <c r="D60" s="10"/>
      <c r="E60" s="10"/>
      <c r="F60" s="10" t="s">
        <v>471</v>
      </c>
      <c r="G60" s="10"/>
      <c r="H60" s="10"/>
      <c r="I60" s="10"/>
      <c r="J60" s="10"/>
      <c r="K60" s="10"/>
      <c r="L60" s="9">
        <v>14611</v>
      </c>
      <c r="M60" s="8" t="s">
        <v>1046</v>
      </c>
      <c r="N60" s="3"/>
      <c r="O60" s="3"/>
      <c r="P60" s="3"/>
    </row>
    <row r="61" spans="1:16">
      <c r="A61" s="7"/>
      <c r="B61" s="10">
        <v>39842</v>
      </c>
      <c r="C61" s="9">
        <v>1890</v>
      </c>
      <c r="D61" s="9"/>
      <c r="E61" s="10"/>
      <c r="F61" s="10">
        <v>765</v>
      </c>
      <c r="G61" s="9"/>
      <c r="H61" s="9"/>
      <c r="I61" s="9"/>
      <c r="J61" s="9"/>
      <c r="K61" s="11"/>
      <c r="L61" s="9"/>
      <c r="M61" s="11"/>
      <c r="N61" s="3"/>
      <c r="O61" s="3"/>
      <c r="P61" s="3"/>
    </row>
    <row r="62" spans="1:16">
      <c r="A62" s="3"/>
      <c r="B62" s="3"/>
      <c r="C62" s="3"/>
      <c r="D62" s="3"/>
      <c r="E62" s="3"/>
      <c r="F62" s="3"/>
      <c r="G62" s="3"/>
      <c r="H62" s="3"/>
      <c r="I62" s="3"/>
      <c r="J62" s="3"/>
      <c r="K62" s="9"/>
      <c r="L62" s="9"/>
      <c r="M62" s="9"/>
      <c r="N62" s="3"/>
      <c r="O62" s="3"/>
      <c r="P62" s="3"/>
    </row>
    <row r="63" spans="1:16">
      <c r="A63" s="39" t="s">
        <v>47</v>
      </c>
      <c r="B63" s="40" t="s">
        <v>935</v>
      </c>
      <c r="C63" s="40" t="s">
        <v>1041</v>
      </c>
      <c r="D63" s="40"/>
      <c r="E63" s="40" t="s">
        <v>1041</v>
      </c>
      <c r="F63" s="40"/>
      <c r="G63" s="40"/>
      <c r="H63" s="40"/>
      <c r="I63" s="40"/>
      <c r="J63" s="40"/>
      <c r="K63" s="40"/>
      <c r="L63" s="38">
        <v>11724</v>
      </c>
      <c r="M63" s="37" t="s">
        <v>939</v>
      </c>
      <c r="N63" s="3"/>
      <c r="O63" s="3"/>
      <c r="P63" s="3"/>
    </row>
    <row r="64" spans="1:16">
      <c r="A64" s="36"/>
      <c r="B64" s="40">
        <v>38501</v>
      </c>
      <c r="C64" s="40">
        <v>1929</v>
      </c>
      <c r="D64" s="40"/>
      <c r="E64" s="40">
        <v>701</v>
      </c>
      <c r="F64" s="38"/>
      <c r="G64" s="38"/>
      <c r="H64" s="38"/>
      <c r="I64" s="38"/>
      <c r="J64" s="38"/>
      <c r="K64" s="40"/>
      <c r="L64" s="38"/>
      <c r="M64" s="41"/>
      <c r="N64" s="3"/>
      <c r="O64" s="3"/>
      <c r="P64" s="3"/>
    </row>
    <row r="65" spans="1:16">
      <c r="A65" s="3"/>
      <c r="B65" s="3"/>
      <c r="C65" s="3"/>
      <c r="D65" s="3"/>
      <c r="E65" s="3"/>
      <c r="F65" s="3"/>
      <c r="G65" s="3"/>
      <c r="H65" s="3"/>
      <c r="I65" s="3"/>
      <c r="J65" s="3"/>
      <c r="K65" s="11"/>
      <c r="L65" s="9"/>
      <c r="M65" s="9"/>
      <c r="N65" s="3"/>
      <c r="O65" s="3"/>
      <c r="P65" s="3"/>
    </row>
    <row r="66" spans="1:16">
      <c r="A66" s="3" t="s">
        <v>49</v>
      </c>
      <c r="B66" s="10" t="s">
        <v>941</v>
      </c>
      <c r="C66" s="10" t="s">
        <v>1047</v>
      </c>
      <c r="D66" s="10"/>
      <c r="E66" s="10"/>
      <c r="F66" s="10" t="s">
        <v>941</v>
      </c>
      <c r="G66" s="10"/>
      <c r="H66" s="10"/>
      <c r="I66" s="10"/>
      <c r="J66" s="10"/>
      <c r="K66" s="10"/>
      <c r="L66" s="9">
        <v>26061</v>
      </c>
      <c r="M66" s="8" t="s">
        <v>545</v>
      </c>
      <c r="N66" s="3"/>
      <c r="O66" s="3"/>
      <c r="P66" s="3"/>
    </row>
    <row r="67" spans="1:16">
      <c r="A67" s="7"/>
      <c r="B67" s="10">
        <v>38155</v>
      </c>
      <c r="C67" s="10">
        <v>3255</v>
      </c>
      <c r="D67" s="10"/>
      <c r="E67" s="10"/>
      <c r="F67" s="10">
        <v>1173</v>
      </c>
      <c r="G67" s="9"/>
      <c r="H67" s="9"/>
      <c r="I67" s="9"/>
      <c r="J67" s="9"/>
      <c r="K67" s="10"/>
      <c r="L67" s="9"/>
      <c r="M67" s="11"/>
      <c r="N67" s="3"/>
      <c r="O67" s="3"/>
      <c r="P67" s="3"/>
    </row>
    <row r="68" spans="1:16">
      <c r="A68" s="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11"/>
      <c r="N68" s="3"/>
      <c r="O68" s="3"/>
      <c r="P68" s="3"/>
    </row>
    <row r="69" spans="1:16">
      <c r="A69" s="39" t="s">
        <v>52</v>
      </c>
      <c r="B69" s="37" t="s">
        <v>943</v>
      </c>
      <c r="C69" s="37" t="s">
        <v>1048</v>
      </c>
      <c r="D69" s="37"/>
      <c r="E69" s="37" t="s">
        <v>1049</v>
      </c>
      <c r="F69" s="37" t="s">
        <v>943</v>
      </c>
      <c r="G69" s="37"/>
      <c r="H69" s="37"/>
      <c r="I69" s="37"/>
      <c r="J69" s="37"/>
      <c r="K69" s="37"/>
      <c r="L69" s="38">
        <v>15868</v>
      </c>
      <c r="M69" s="40" t="s">
        <v>854</v>
      </c>
      <c r="N69" s="3"/>
      <c r="O69" s="3"/>
      <c r="P69" s="3"/>
    </row>
    <row r="70" spans="1:16">
      <c r="A70" s="39"/>
      <c r="B70" s="40">
        <v>29643</v>
      </c>
      <c r="C70" s="40">
        <v>8006</v>
      </c>
      <c r="D70" s="40"/>
      <c r="E70" s="40">
        <v>1310</v>
      </c>
      <c r="F70" s="40">
        <v>899</v>
      </c>
      <c r="G70" s="38"/>
      <c r="H70" s="38"/>
      <c r="I70" s="38"/>
      <c r="J70" s="38"/>
      <c r="K70" s="38"/>
      <c r="L70" s="38"/>
      <c r="M70" s="41"/>
      <c r="N70" s="3"/>
      <c r="O70" s="3"/>
      <c r="P70" s="3"/>
    </row>
    <row r="71" spans="1:1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9"/>
      <c r="M71" s="11"/>
      <c r="N71" s="3"/>
      <c r="O71" s="3"/>
      <c r="P71" s="3"/>
    </row>
    <row r="72" spans="1:16">
      <c r="A72" s="7" t="s">
        <v>54</v>
      </c>
      <c r="B72" s="8" t="s">
        <v>946</v>
      </c>
      <c r="C72" s="8" t="s">
        <v>1050</v>
      </c>
      <c r="D72" s="8" t="s">
        <v>150</v>
      </c>
      <c r="E72" s="8" t="s">
        <v>1050</v>
      </c>
      <c r="F72" s="8" t="s">
        <v>1051</v>
      </c>
      <c r="G72" s="8" t="s">
        <v>1050</v>
      </c>
      <c r="H72" s="8" t="s">
        <v>851</v>
      </c>
      <c r="I72" s="8"/>
      <c r="J72" s="8"/>
      <c r="K72" s="10" t="s">
        <v>1052</v>
      </c>
      <c r="L72" s="9">
        <v>8380</v>
      </c>
      <c r="M72" s="8" t="s">
        <v>948</v>
      </c>
      <c r="N72" s="3"/>
      <c r="O72" s="3"/>
      <c r="P72" s="3"/>
    </row>
    <row r="73" spans="1:16">
      <c r="A73" s="3"/>
      <c r="B73" s="10">
        <v>27102</v>
      </c>
      <c r="C73" s="10">
        <v>19010</v>
      </c>
      <c r="D73" s="10">
        <v>323</v>
      </c>
      <c r="E73" s="10">
        <v>3645</v>
      </c>
      <c r="F73" s="9">
        <v>192</v>
      </c>
      <c r="G73" s="9">
        <v>1210</v>
      </c>
      <c r="H73" s="9">
        <v>926</v>
      </c>
      <c r="I73" s="9"/>
      <c r="J73" s="9"/>
      <c r="K73" s="9">
        <v>619</v>
      </c>
      <c r="L73" s="9"/>
      <c r="M73" s="9"/>
      <c r="N73" s="3"/>
      <c r="O73" s="3"/>
      <c r="P73" s="3"/>
    </row>
    <row r="74" spans="1:1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9"/>
      <c r="M74" s="11"/>
      <c r="N74" s="3"/>
      <c r="O74" s="3"/>
      <c r="P74" s="3"/>
    </row>
    <row r="75" spans="1:16">
      <c r="A75" s="36" t="s">
        <v>56</v>
      </c>
      <c r="B75" s="37" t="s">
        <v>777</v>
      </c>
      <c r="C75" s="37" t="s">
        <v>777</v>
      </c>
      <c r="D75" s="37" t="s">
        <v>169</v>
      </c>
      <c r="E75" s="37" t="s">
        <v>1053</v>
      </c>
      <c r="F75" s="37" t="s">
        <v>1054</v>
      </c>
      <c r="G75" s="37"/>
      <c r="H75" s="37"/>
      <c r="I75" s="37"/>
      <c r="J75" s="37"/>
      <c r="K75" s="37"/>
      <c r="L75" s="38">
        <v>12211</v>
      </c>
      <c r="M75" s="37" t="s">
        <v>778</v>
      </c>
      <c r="N75" s="3"/>
      <c r="O75" s="3"/>
      <c r="P75" s="3"/>
    </row>
    <row r="76" spans="1:16">
      <c r="A76" s="39"/>
      <c r="B76" s="40">
        <v>26012</v>
      </c>
      <c r="C76" s="40">
        <v>29615</v>
      </c>
      <c r="D76" s="40">
        <v>1402</v>
      </c>
      <c r="E76" s="40">
        <v>7211</v>
      </c>
      <c r="F76" s="40">
        <v>945</v>
      </c>
      <c r="G76" s="40"/>
      <c r="H76" s="40"/>
      <c r="I76" s="40"/>
      <c r="J76" s="40"/>
      <c r="K76" s="38"/>
      <c r="L76" s="38"/>
      <c r="M76" s="38"/>
      <c r="N76" s="3"/>
      <c r="O76" s="3"/>
      <c r="P76" s="3"/>
    </row>
    <row r="77" spans="1:1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>
      <c r="A78" s="7" t="s">
        <v>58</v>
      </c>
      <c r="B78" s="8" t="s">
        <v>710</v>
      </c>
      <c r="C78" s="8" t="s">
        <v>1055</v>
      </c>
      <c r="D78" s="8"/>
      <c r="E78" s="8" t="s">
        <v>1055</v>
      </c>
      <c r="F78" s="8" t="s">
        <v>710</v>
      </c>
      <c r="G78" s="8"/>
      <c r="H78" s="8"/>
      <c r="I78" s="8"/>
      <c r="J78" s="8"/>
      <c r="K78" s="8"/>
      <c r="L78" s="9">
        <v>14600</v>
      </c>
      <c r="M78" s="8" t="s">
        <v>711</v>
      </c>
      <c r="N78" s="3"/>
      <c r="O78" s="3"/>
      <c r="P78" s="3"/>
    </row>
    <row r="79" spans="1:16">
      <c r="A79" s="3"/>
      <c r="B79" s="10">
        <v>38910</v>
      </c>
      <c r="C79" s="10">
        <v>5264</v>
      </c>
      <c r="D79" s="10"/>
      <c r="E79" s="10">
        <v>914</v>
      </c>
      <c r="F79" s="10">
        <v>1612</v>
      </c>
      <c r="G79" s="9"/>
      <c r="H79" s="9"/>
      <c r="I79" s="9"/>
      <c r="J79" s="9"/>
      <c r="K79" s="9"/>
      <c r="L79" s="9"/>
      <c r="M79" s="9"/>
      <c r="N79" s="3"/>
      <c r="O79" s="3"/>
      <c r="P79" s="3"/>
    </row>
    <row r="80" spans="1:1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9"/>
      <c r="M80" s="11"/>
      <c r="N80" s="3"/>
      <c r="O80" s="3"/>
      <c r="P80" s="3"/>
    </row>
    <row r="81" spans="1:16">
      <c r="A81" s="36" t="s">
        <v>59</v>
      </c>
      <c r="B81" s="37" t="s">
        <v>1056</v>
      </c>
      <c r="C81" s="37" t="s">
        <v>950</v>
      </c>
      <c r="D81" s="37"/>
      <c r="E81" s="37"/>
      <c r="F81" s="37" t="s">
        <v>951</v>
      </c>
      <c r="G81" s="37"/>
      <c r="H81" s="37"/>
      <c r="I81" s="37"/>
      <c r="J81" s="37"/>
      <c r="K81" s="37"/>
      <c r="L81" s="38">
        <v>10931</v>
      </c>
      <c r="M81" s="37" t="s">
        <v>952</v>
      </c>
      <c r="N81" s="3"/>
      <c r="O81" s="3"/>
      <c r="P81" s="3"/>
    </row>
    <row r="82" spans="1:16">
      <c r="A82" s="39"/>
      <c r="B82" s="40">
        <v>36765</v>
      </c>
      <c r="C82" s="40">
        <v>43064</v>
      </c>
      <c r="D82" s="40"/>
      <c r="E82" s="38"/>
      <c r="F82" s="40">
        <v>3994</v>
      </c>
      <c r="G82" s="40"/>
      <c r="H82" s="40"/>
      <c r="I82" s="40"/>
      <c r="J82" s="40"/>
      <c r="K82" s="38"/>
      <c r="L82" s="38"/>
      <c r="M82" s="38"/>
      <c r="N82" s="3"/>
      <c r="O82" s="3"/>
      <c r="P82" s="3"/>
    </row>
    <row r="83" spans="1:1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9"/>
      <c r="N83" s="3"/>
      <c r="O83" s="3"/>
      <c r="P83" s="3"/>
    </row>
    <row r="84" spans="1:16">
      <c r="A84" s="7" t="s">
        <v>63</v>
      </c>
      <c r="B84" s="8" t="s">
        <v>547</v>
      </c>
      <c r="C84" s="8" t="s">
        <v>954</v>
      </c>
      <c r="D84" s="8"/>
      <c r="E84" s="8"/>
      <c r="F84" s="8" t="s">
        <v>547</v>
      </c>
      <c r="G84" s="8"/>
      <c r="H84" s="8"/>
      <c r="I84" s="8"/>
      <c r="J84" s="8"/>
      <c r="K84" s="8"/>
      <c r="L84" s="9">
        <v>11611</v>
      </c>
      <c r="M84" s="8" t="s">
        <v>549</v>
      </c>
      <c r="N84" s="3"/>
      <c r="O84" s="3"/>
      <c r="P84" s="3"/>
    </row>
    <row r="85" spans="1:16">
      <c r="A85" s="3"/>
      <c r="B85" s="10">
        <v>58613</v>
      </c>
      <c r="C85" s="9">
        <v>10059</v>
      </c>
      <c r="D85" s="9"/>
      <c r="E85" s="9"/>
      <c r="F85" s="10">
        <v>2740</v>
      </c>
      <c r="G85" s="11"/>
      <c r="H85" s="11"/>
      <c r="I85" s="11"/>
      <c r="J85" s="11"/>
      <c r="K85" s="11"/>
      <c r="L85" s="9"/>
      <c r="M85" s="9"/>
      <c r="N85" s="3"/>
      <c r="O85" s="3"/>
      <c r="P85" s="3"/>
    </row>
    <row r="86" spans="1:1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9"/>
      <c r="M86" s="11"/>
      <c r="N86" s="3"/>
      <c r="O86" s="3"/>
      <c r="P86" s="3"/>
    </row>
    <row r="87" spans="1:16">
      <c r="A87" s="36" t="s">
        <v>65</v>
      </c>
      <c r="B87" s="37" t="s">
        <v>859</v>
      </c>
      <c r="C87" s="37" t="s">
        <v>780</v>
      </c>
      <c r="D87" s="37" t="s">
        <v>780</v>
      </c>
      <c r="E87" s="37" t="s">
        <v>1057</v>
      </c>
      <c r="F87" s="37" t="s">
        <v>859</v>
      </c>
      <c r="G87" s="37"/>
      <c r="H87" s="37"/>
      <c r="I87" s="37"/>
      <c r="J87" s="37"/>
      <c r="K87" s="40"/>
      <c r="L87" s="38">
        <v>12254</v>
      </c>
      <c r="M87" s="37" t="s">
        <v>860</v>
      </c>
      <c r="N87" s="3"/>
      <c r="O87" s="3"/>
      <c r="P87" s="3"/>
    </row>
    <row r="88" spans="1:16">
      <c r="A88" s="39"/>
      <c r="B88" s="40">
        <v>35631</v>
      </c>
      <c r="C88" s="38">
        <v>2979</v>
      </c>
      <c r="D88" s="38">
        <v>744</v>
      </c>
      <c r="E88" s="40">
        <v>764</v>
      </c>
      <c r="F88" s="40">
        <v>656</v>
      </c>
      <c r="G88" s="38"/>
      <c r="H88" s="38"/>
      <c r="I88" s="38"/>
      <c r="J88" s="38"/>
      <c r="K88" s="40"/>
      <c r="L88" s="38"/>
      <c r="M88" s="38"/>
      <c r="N88" s="3"/>
      <c r="O88" s="3"/>
      <c r="P88" s="3"/>
    </row>
    <row r="89" spans="1:1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9"/>
      <c r="M89" s="11"/>
      <c r="N89" s="3"/>
      <c r="O89" s="3"/>
      <c r="P89" s="3"/>
    </row>
    <row r="90" spans="1:16">
      <c r="A90" s="3" t="s">
        <v>67</v>
      </c>
      <c r="B90" s="10" t="s">
        <v>956</v>
      </c>
      <c r="C90" s="10" t="s">
        <v>1058</v>
      </c>
      <c r="D90" s="10"/>
      <c r="E90" s="10"/>
      <c r="F90" s="10" t="s">
        <v>956</v>
      </c>
      <c r="G90" s="10"/>
      <c r="H90" s="10"/>
      <c r="I90" s="10"/>
      <c r="J90" s="10"/>
      <c r="K90" s="10"/>
      <c r="L90" s="9">
        <v>12560</v>
      </c>
      <c r="M90" s="8" t="s">
        <v>785</v>
      </c>
      <c r="N90" s="3"/>
      <c r="O90" s="3"/>
      <c r="P90" s="3"/>
    </row>
    <row r="91" spans="1:16">
      <c r="A91" s="3"/>
      <c r="B91" s="10">
        <v>51209</v>
      </c>
      <c r="C91" s="9">
        <v>1908</v>
      </c>
      <c r="D91" s="9"/>
      <c r="E91" s="9"/>
      <c r="F91" s="10">
        <v>1135</v>
      </c>
      <c r="G91" s="9"/>
      <c r="H91" s="9"/>
      <c r="I91" s="9"/>
      <c r="J91" s="9"/>
      <c r="K91" s="9"/>
      <c r="L91" s="9"/>
      <c r="M91" s="9"/>
      <c r="N91" s="3"/>
      <c r="O91" s="3"/>
      <c r="P91" s="3"/>
    </row>
    <row r="92" spans="1:1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9"/>
      <c r="M92" s="9"/>
      <c r="N92" s="3"/>
      <c r="O92" s="3"/>
      <c r="P92" s="3"/>
    </row>
    <row r="93" spans="1:16">
      <c r="A93" s="39" t="s">
        <v>68</v>
      </c>
      <c r="B93" s="40" t="s">
        <v>634</v>
      </c>
      <c r="C93" s="40" t="s">
        <v>1059</v>
      </c>
      <c r="D93" s="40"/>
      <c r="E93" s="40" t="s">
        <v>1060</v>
      </c>
      <c r="F93" s="40" t="s">
        <v>1059</v>
      </c>
      <c r="G93" s="40" t="s">
        <v>1060</v>
      </c>
      <c r="H93" s="40"/>
      <c r="I93" s="40" t="s">
        <v>353</v>
      </c>
      <c r="J93" s="40"/>
      <c r="K93" s="40"/>
      <c r="L93" s="38">
        <v>15570</v>
      </c>
      <c r="M93" s="40" t="s">
        <v>636</v>
      </c>
      <c r="N93" s="3"/>
      <c r="O93" s="3"/>
      <c r="P93" s="3"/>
    </row>
    <row r="94" spans="1:16">
      <c r="A94" s="39"/>
      <c r="B94" s="40">
        <v>65158</v>
      </c>
      <c r="C94" s="38">
        <v>9506</v>
      </c>
      <c r="D94" s="38"/>
      <c r="E94" s="40">
        <v>994</v>
      </c>
      <c r="F94" s="40">
        <v>1413</v>
      </c>
      <c r="G94" s="38">
        <v>427</v>
      </c>
      <c r="H94" s="38"/>
      <c r="I94" s="38">
        <v>1979</v>
      </c>
      <c r="J94" s="38"/>
      <c r="K94" s="38"/>
      <c r="L94" s="38"/>
      <c r="M94" s="38"/>
      <c r="N94" s="3"/>
      <c r="O94" s="3"/>
      <c r="P94" s="3"/>
    </row>
    <row r="95" spans="1:16">
      <c r="A95" s="3"/>
      <c r="B95" s="3"/>
      <c r="C95" s="3"/>
      <c r="D95" s="3"/>
      <c r="E95" s="3"/>
      <c r="F95" s="3"/>
      <c r="G95" s="3"/>
      <c r="H95" s="3"/>
      <c r="I95" s="3"/>
      <c r="J95" s="3"/>
      <c r="K95" s="11"/>
      <c r="L95" s="9"/>
      <c r="M95" s="9"/>
      <c r="N95" s="3"/>
      <c r="O95" s="3"/>
      <c r="P95" s="3"/>
    </row>
    <row r="96" spans="1:16">
      <c r="A96" s="3" t="s">
        <v>69</v>
      </c>
      <c r="B96" s="10" t="s">
        <v>959</v>
      </c>
      <c r="C96" s="10" t="s">
        <v>482</v>
      </c>
      <c r="D96" s="10" t="s">
        <v>1099</v>
      </c>
      <c r="E96" s="10" t="s">
        <v>1061</v>
      </c>
      <c r="F96" s="10" t="s">
        <v>961</v>
      </c>
      <c r="G96" s="10"/>
      <c r="H96" s="10"/>
      <c r="I96" s="10"/>
      <c r="J96" s="10"/>
      <c r="K96" s="10"/>
      <c r="L96" s="9">
        <v>9450</v>
      </c>
      <c r="M96" s="10" t="s">
        <v>720</v>
      </c>
      <c r="N96" s="3"/>
      <c r="O96" s="3"/>
      <c r="P96" s="3"/>
    </row>
    <row r="97" spans="1:16">
      <c r="A97" s="3"/>
      <c r="B97" s="10">
        <v>26523</v>
      </c>
      <c r="C97" s="10">
        <v>1212</v>
      </c>
      <c r="D97" s="10">
        <v>326</v>
      </c>
      <c r="E97" s="10">
        <v>422</v>
      </c>
      <c r="F97" s="10">
        <v>481</v>
      </c>
      <c r="G97" s="9"/>
      <c r="H97" s="9"/>
      <c r="I97" s="9"/>
      <c r="J97" s="9"/>
      <c r="K97" s="9"/>
      <c r="L97" s="9"/>
      <c r="M97" s="9"/>
      <c r="N97" s="3"/>
      <c r="O97" s="3"/>
      <c r="P97" s="3"/>
    </row>
    <row r="98" spans="1:16">
      <c r="A98" s="3"/>
      <c r="B98" s="3"/>
      <c r="C98" s="3"/>
      <c r="D98" s="3"/>
      <c r="E98" s="3"/>
      <c r="F98" s="3"/>
      <c r="G98" s="3"/>
      <c r="H98" s="3"/>
      <c r="I98" s="3"/>
      <c r="J98" s="3"/>
      <c r="K98" s="9"/>
      <c r="L98" s="9"/>
      <c r="M98" s="9"/>
      <c r="N98" s="3"/>
      <c r="O98" s="3"/>
      <c r="P98" s="3"/>
    </row>
    <row r="99" spans="1:16">
      <c r="A99" s="39" t="s">
        <v>70</v>
      </c>
      <c r="B99" s="40" t="s">
        <v>1062</v>
      </c>
      <c r="C99" s="40" t="s">
        <v>817</v>
      </c>
      <c r="D99" s="40"/>
      <c r="E99" s="40" t="s">
        <v>1063</v>
      </c>
      <c r="F99" s="40" t="s">
        <v>963</v>
      </c>
      <c r="G99" s="40"/>
      <c r="H99" s="40"/>
      <c r="I99" s="40"/>
      <c r="J99" s="40"/>
      <c r="K99" s="40"/>
      <c r="L99" s="38">
        <v>14159</v>
      </c>
      <c r="M99" s="40" t="s">
        <v>1064</v>
      </c>
      <c r="N99" s="3"/>
      <c r="O99" s="3"/>
      <c r="P99" s="3"/>
    </row>
    <row r="100" spans="1:16">
      <c r="A100" s="39"/>
      <c r="B100" s="40">
        <v>36200</v>
      </c>
      <c r="C100" s="40">
        <v>1462</v>
      </c>
      <c r="D100" s="40"/>
      <c r="E100" s="40">
        <v>772</v>
      </c>
      <c r="F100" s="40">
        <v>767</v>
      </c>
      <c r="G100" s="38"/>
      <c r="H100" s="38"/>
      <c r="I100" s="38"/>
      <c r="J100" s="38"/>
      <c r="K100" s="38"/>
      <c r="L100" s="38"/>
      <c r="M100" s="38"/>
      <c r="N100" s="3"/>
      <c r="O100" s="3"/>
      <c r="P100" s="3"/>
    </row>
    <row r="101" spans="1:1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9"/>
      <c r="M101" s="9"/>
      <c r="N101" s="3"/>
      <c r="O101" s="3"/>
      <c r="P101" s="3"/>
    </row>
    <row r="102" spans="1:16">
      <c r="A102" s="3" t="s">
        <v>71</v>
      </c>
      <c r="B102" s="10" t="s">
        <v>1065</v>
      </c>
      <c r="C102" s="10" t="s">
        <v>1066</v>
      </c>
      <c r="D102" s="10"/>
      <c r="E102" s="10" t="s">
        <v>869</v>
      </c>
      <c r="F102" s="10"/>
      <c r="G102" s="10"/>
      <c r="H102" s="10"/>
      <c r="I102" s="10"/>
      <c r="J102" s="10"/>
      <c r="K102" s="10"/>
      <c r="L102" s="9">
        <v>14351</v>
      </c>
      <c r="M102" s="10" t="s">
        <v>1067</v>
      </c>
      <c r="N102" s="3"/>
      <c r="O102" s="3"/>
      <c r="P102" s="3"/>
    </row>
    <row r="103" spans="1:16">
      <c r="A103" s="3"/>
      <c r="B103" s="10">
        <v>44957</v>
      </c>
      <c r="C103" s="10">
        <v>2530</v>
      </c>
      <c r="D103" s="10"/>
      <c r="E103" s="10">
        <v>922</v>
      </c>
      <c r="F103" s="10"/>
      <c r="G103" s="9"/>
      <c r="H103" s="9"/>
      <c r="I103" s="9"/>
      <c r="J103" s="9"/>
      <c r="K103" s="9"/>
      <c r="L103" s="9"/>
      <c r="M103" s="9"/>
      <c r="N103" s="3"/>
      <c r="O103" s="3"/>
      <c r="P103" s="3"/>
    </row>
    <row r="104" spans="1:1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>
      <c r="A105" s="41" t="s">
        <v>5</v>
      </c>
      <c r="B105" s="37" t="s">
        <v>1068</v>
      </c>
      <c r="C105" s="37" t="s">
        <v>863</v>
      </c>
      <c r="D105" s="37" t="s">
        <v>864</v>
      </c>
      <c r="E105" s="37" t="s">
        <v>863</v>
      </c>
      <c r="F105" s="37" t="s">
        <v>865</v>
      </c>
      <c r="G105" s="37"/>
      <c r="H105" s="37"/>
      <c r="I105" s="37"/>
      <c r="J105" s="37"/>
      <c r="K105" s="37"/>
      <c r="L105" s="38">
        <v>10295</v>
      </c>
      <c r="M105" s="37" t="s">
        <v>866</v>
      </c>
      <c r="N105" s="3"/>
      <c r="O105" s="3"/>
      <c r="P105" s="3"/>
    </row>
    <row r="106" spans="1:16">
      <c r="A106" s="38"/>
      <c r="B106" s="38">
        <v>21135</v>
      </c>
      <c r="C106" s="40">
        <v>23231</v>
      </c>
      <c r="D106" s="40">
        <v>1537</v>
      </c>
      <c r="E106" s="40">
        <v>4809</v>
      </c>
      <c r="F106" s="41" t="s">
        <v>865</v>
      </c>
      <c r="G106" s="41"/>
      <c r="H106" s="41"/>
      <c r="I106" s="41"/>
      <c r="J106" s="41"/>
      <c r="K106" s="40"/>
      <c r="L106" s="38"/>
      <c r="M106" s="41"/>
      <c r="N106" s="3"/>
      <c r="O106" s="3"/>
      <c r="P106" s="3"/>
    </row>
    <row r="107" spans="1:16">
      <c r="A107" s="9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9"/>
      <c r="M107" s="9"/>
      <c r="N107" s="3"/>
      <c r="O107" s="3"/>
      <c r="P107" s="3"/>
    </row>
    <row r="108" spans="1:16">
      <c r="A108" s="11" t="s">
        <v>104</v>
      </c>
      <c r="B108" s="8" t="s">
        <v>1069</v>
      </c>
      <c r="C108" s="8" t="s">
        <v>721</v>
      </c>
      <c r="D108" s="8" t="s">
        <v>722</v>
      </c>
      <c r="E108" s="8" t="s">
        <v>721</v>
      </c>
      <c r="F108" s="8"/>
      <c r="G108" s="8" t="s">
        <v>968</v>
      </c>
      <c r="H108" s="8"/>
      <c r="I108" s="8"/>
      <c r="J108" s="8"/>
      <c r="K108" s="8"/>
      <c r="L108" s="9">
        <v>11255</v>
      </c>
      <c r="M108" s="8" t="s">
        <v>868</v>
      </c>
      <c r="N108" s="3"/>
      <c r="O108" s="3"/>
      <c r="P108" s="3"/>
    </row>
    <row r="109" spans="1:16">
      <c r="A109" s="9"/>
      <c r="B109" s="9">
        <v>29898</v>
      </c>
      <c r="C109" s="10">
        <v>38054</v>
      </c>
      <c r="D109" s="10">
        <v>1960</v>
      </c>
      <c r="E109" s="10">
        <v>6253</v>
      </c>
      <c r="F109" s="9"/>
      <c r="G109" s="10">
        <v>2021</v>
      </c>
      <c r="H109" s="10"/>
      <c r="I109" s="10"/>
      <c r="J109" s="10"/>
      <c r="K109" s="10"/>
      <c r="L109" s="9"/>
      <c r="M109" s="11"/>
      <c r="N109" s="3"/>
      <c r="O109" s="3"/>
      <c r="P109" s="3"/>
    </row>
    <row r="110" spans="1:16">
      <c r="A110" s="9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9"/>
      <c r="M110" s="9"/>
      <c r="N110" s="3"/>
      <c r="O110" s="3"/>
      <c r="P110" s="3"/>
    </row>
    <row r="111" spans="1:16">
      <c r="A111" s="41" t="s">
        <v>8</v>
      </c>
      <c r="B111" s="37" t="s">
        <v>969</v>
      </c>
      <c r="C111" s="37" t="s">
        <v>1070</v>
      </c>
      <c r="D111" s="37" t="s">
        <v>1070</v>
      </c>
      <c r="E111" s="37" t="s">
        <v>1070</v>
      </c>
      <c r="F111" s="37" t="s">
        <v>870</v>
      </c>
      <c r="G111" s="37" t="s">
        <v>1071</v>
      </c>
      <c r="H111" s="37"/>
      <c r="I111" s="37"/>
      <c r="J111" s="37"/>
      <c r="K111" s="37"/>
      <c r="L111" s="38">
        <v>8071</v>
      </c>
      <c r="M111" s="37" t="s">
        <v>557</v>
      </c>
      <c r="N111" s="3"/>
      <c r="O111" s="3"/>
      <c r="P111" s="3"/>
    </row>
    <row r="112" spans="1:16">
      <c r="A112" s="38"/>
      <c r="B112" s="38">
        <v>54528</v>
      </c>
      <c r="C112" s="38">
        <v>27696</v>
      </c>
      <c r="D112" s="38">
        <v>832</v>
      </c>
      <c r="E112" s="38">
        <v>5014</v>
      </c>
      <c r="F112" s="38"/>
      <c r="G112" s="38">
        <v>1149</v>
      </c>
      <c r="H112" s="38"/>
      <c r="I112" s="38"/>
      <c r="J112" s="38"/>
      <c r="K112" s="38"/>
      <c r="L112" s="38"/>
      <c r="M112" s="41"/>
      <c r="N112" s="3"/>
      <c r="O112" s="3"/>
      <c r="P112" s="3"/>
    </row>
    <row r="113" spans="1:16">
      <c r="A113" s="9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9"/>
      <c r="N113" s="3"/>
      <c r="O113" s="3"/>
      <c r="P113" s="3"/>
    </row>
    <row r="114" spans="1:16">
      <c r="A114" s="11" t="s">
        <v>10</v>
      </c>
      <c r="B114" s="8"/>
      <c r="C114" s="8" t="s">
        <v>971</v>
      </c>
      <c r="D114" s="8"/>
      <c r="E114" s="8" t="s">
        <v>971</v>
      </c>
      <c r="F114" s="8"/>
      <c r="G114" s="8" t="s">
        <v>972</v>
      </c>
      <c r="H114" s="8"/>
      <c r="I114" s="8"/>
      <c r="J114" s="8"/>
      <c r="K114" s="8"/>
      <c r="L114" s="9">
        <v>40515</v>
      </c>
      <c r="M114" s="8" t="s">
        <v>648</v>
      </c>
      <c r="N114" s="3"/>
      <c r="O114" s="3"/>
      <c r="P114" s="3"/>
    </row>
    <row r="115" spans="1:16">
      <c r="A115" s="9"/>
      <c r="B115" s="10"/>
      <c r="C115" s="9">
        <v>48636</v>
      </c>
      <c r="D115" s="9"/>
      <c r="E115" s="9">
        <v>9974</v>
      </c>
      <c r="F115" s="9"/>
      <c r="G115" s="9">
        <v>2883</v>
      </c>
      <c r="H115" s="9"/>
      <c r="I115" s="9"/>
      <c r="J115" s="9"/>
      <c r="K115" s="9"/>
      <c r="L115" s="9"/>
      <c r="M115" s="11"/>
      <c r="N115" s="3"/>
      <c r="O115" s="3"/>
      <c r="P115" s="3"/>
    </row>
    <row r="116" spans="1:1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3"/>
      <c r="O116" s="3"/>
      <c r="P116" s="3"/>
    </row>
    <row r="117" spans="1:16">
      <c r="A117" s="41" t="s">
        <v>14</v>
      </c>
      <c r="B117" s="37" t="s">
        <v>1072</v>
      </c>
      <c r="C117" s="37" t="s">
        <v>1023</v>
      </c>
      <c r="D117" s="37" t="s">
        <v>1100</v>
      </c>
      <c r="E117" s="37" t="s">
        <v>1023</v>
      </c>
      <c r="F117" s="37" t="s">
        <v>870</v>
      </c>
      <c r="G117" s="37"/>
      <c r="H117" s="37"/>
      <c r="I117" s="37"/>
      <c r="J117" s="37"/>
      <c r="K117" s="37"/>
      <c r="L117" s="38">
        <v>10480</v>
      </c>
      <c r="M117" s="37" t="s">
        <v>1073</v>
      </c>
      <c r="N117" s="3"/>
      <c r="O117" s="3"/>
      <c r="P117" s="3"/>
    </row>
    <row r="118" spans="1:16">
      <c r="A118" s="38"/>
      <c r="B118" s="38">
        <v>26687</v>
      </c>
      <c r="C118" s="38">
        <v>50788</v>
      </c>
      <c r="D118" s="38">
        <v>2305</v>
      </c>
      <c r="E118" s="38">
        <v>8458</v>
      </c>
      <c r="F118" s="38"/>
      <c r="G118" s="38"/>
      <c r="H118" s="38"/>
      <c r="I118" s="38"/>
      <c r="J118" s="38"/>
      <c r="K118" s="38"/>
      <c r="L118" s="38"/>
      <c r="M118" s="41"/>
      <c r="N118" s="3"/>
      <c r="O118" s="3"/>
      <c r="P118" s="3"/>
    </row>
    <row r="119" spans="1:16">
      <c r="A119" s="38"/>
      <c r="B119" s="39"/>
      <c r="C119" s="39"/>
      <c r="D119" s="39"/>
      <c r="E119" s="39"/>
      <c r="F119" s="39"/>
      <c r="G119" s="39"/>
      <c r="H119" s="39"/>
      <c r="I119" s="39"/>
      <c r="J119" s="39"/>
      <c r="K119" s="38"/>
      <c r="L119" s="38"/>
      <c r="M119" s="38"/>
      <c r="N119" s="3"/>
      <c r="O119" s="3"/>
      <c r="P119" s="3"/>
    </row>
    <row r="120" spans="1:16" ht="17.25">
      <c r="A120" s="38" t="s">
        <v>1094</v>
      </c>
      <c r="B120" s="42" t="s">
        <v>973</v>
      </c>
      <c r="C120" s="42" t="s">
        <v>644</v>
      </c>
      <c r="D120" s="42" t="s">
        <v>644</v>
      </c>
      <c r="E120" s="42" t="s">
        <v>644</v>
      </c>
      <c r="F120" s="42" t="s">
        <v>973</v>
      </c>
      <c r="G120" s="42"/>
      <c r="H120" s="42" t="s">
        <v>973</v>
      </c>
      <c r="I120" s="42" t="s">
        <v>1101</v>
      </c>
      <c r="J120" s="42"/>
      <c r="K120" s="40"/>
      <c r="L120" s="38">
        <v>111</v>
      </c>
      <c r="M120" s="40" t="s">
        <v>645</v>
      </c>
      <c r="N120" s="3"/>
      <c r="O120" s="3"/>
      <c r="P120" s="3"/>
    </row>
    <row r="121" spans="1:16">
      <c r="A121" s="38"/>
      <c r="B121" s="38">
        <v>16746</v>
      </c>
      <c r="C121" s="38">
        <v>16687</v>
      </c>
      <c r="D121" s="38">
        <v>1086</v>
      </c>
      <c r="E121" s="38">
        <v>3360</v>
      </c>
      <c r="F121" s="38">
        <v>708</v>
      </c>
      <c r="G121" s="38"/>
      <c r="H121" s="38">
        <v>1923</v>
      </c>
      <c r="I121" s="38">
        <v>578</v>
      </c>
      <c r="J121" s="38"/>
      <c r="K121" s="38"/>
      <c r="L121" s="38"/>
      <c r="M121" s="38"/>
      <c r="N121" s="3"/>
      <c r="O121" s="3"/>
      <c r="P121" s="3"/>
    </row>
    <row r="122" spans="1:16">
      <c r="A122" s="9"/>
      <c r="B122" s="3"/>
      <c r="C122" s="3"/>
      <c r="D122" s="3"/>
      <c r="E122" s="3"/>
      <c r="F122" s="3"/>
      <c r="G122" s="3"/>
      <c r="H122" s="3"/>
      <c r="I122" s="3"/>
      <c r="J122" s="3"/>
      <c r="K122" s="9"/>
      <c r="L122" s="9"/>
      <c r="M122" s="9"/>
      <c r="N122" s="3"/>
      <c r="O122" s="3"/>
      <c r="P122" s="3"/>
    </row>
    <row r="123" spans="1:16">
      <c r="A123" s="11" t="s">
        <v>17</v>
      </c>
      <c r="B123" s="8"/>
      <c r="C123" s="8" t="s">
        <v>335</v>
      </c>
      <c r="D123" s="8"/>
      <c r="E123" s="8" t="s">
        <v>335</v>
      </c>
      <c r="F123" s="8"/>
      <c r="G123" s="8" t="s">
        <v>870</v>
      </c>
      <c r="H123" s="8"/>
      <c r="I123" s="8"/>
      <c r="J123" s="8"/>
      <c r="K123" s="8" t="s">
        <v>865</v>
      </c>
      <c r="L123" s="9">
        <v>34714</v>
      </c>
      <c r="M123" s="8" t="s">
        <v>337</v>
      </c>
      <c r="N123" s="3"/>
      <c r="O123" s="3"/>
      <c r="P123" s="3"/>
    </row>
    <row r="124" spans="1:16">
      <c r="A124" s="9"/>
      <c r="B124" s="9"/>
      <c r="C124" s="9">
        <v>45248</v>
      </c>
      <c r="D124" s="9"/>
      <c r="E124" s="9">
        <v>8475</v>
      </c>
      <c r="F124" s="9"/>
      <c r="G124" s="11" t="s">
        <v>870</v>
      </c>
      <c r="H124" s="11"/>
      <c r="I124" s="11"/>
      <c r="J124" s="11"/>
      <c r="K124" s="11" t="s">
        <v>865</v>
      </c>
      <c r="L124" s="9"/>
      <c r="M124" s="11"/>
      <c r="N124" s="3"/>
      <c r="O124" s="3"/>
      <c r="P124" s="3"/>
    </row>
    <row r="125" spans="1:16">
      <c r="A125" s="9"/>
      <c r="B125" s="3"/>
      <c r="C125" s="3"/>
      <c r="D125" s="3"/>
      <c r="E125" s="3"/>
      <c r="F125" s="3"/>
      <c r="G125" s="3"/>
      <c r="H125" s="3"/>
      <c r="I125" s="3"/>
      <c r="J125" s="3"/>
      <c r="K125" s="9"/>
      <c r="L125" s="9"/>
      <c r="M125" s="9"/>
      <c r="N125" s="3"/>
      <c r="O125" s="3"/>
      <c r="P125" s="3"/>
    </row>
    <row r="126" spans="1:16">
      <c r="A126" s="41" t="s">
        <v>19</v>
      </c>
      <c r="B126" s="37" t="s">
        <v>1074</v>
      </c>
      <c r="C126" s="37" t="s">
        <v>342</v>
      </c>
      <c r="D126" s="37" t="s">
        <v>1074</v>
      </c>
      <c r="E126" s="37" t="s">
        <v>1075</v>
      </c>
      <c r="F126" s="37"/>
      <c r="G126" s="37"/>
      <c r="H126" s="37"/>
      <c r="I126" s="37"/>
      <c r="J126" s="37"/>
      <c r="K126" s="37"/>
      <c r="L126" s="40">
        <v>13314</v>
      </c>
      <c r="M126" s="37" t="s">
        <v>343</v>
      </c>
      <c r="N126" s="3"/>
      <c r="O126" s="3"/>
      <c r="P126" s="3"/>
    </row>
    <row r="127" spans="1:16">
      <c r="A127" s="38"/>
      <c r="B127" s="38">
        <v>32774</v>
      </c>
      <c r="C127" s="38">
        <v>46836</v>
      </c>
      <c r="D127" s="38">
        <v>2615</v>
      </c>
      <c r="E127" s="38">
        <v>10293</v>
      </c>
      <c r="F127" s="38"/>
      <c r="G127" s="38"/>
      <c r="H127" s="38"/>
      <c r="I127" s="38"/>
      <c r="J127" s="38"/>
      <c r="K127" s="41"/>
      <c r="L127" s="38"/>
      <c r="M127" s="41"/>
      <c r="N127" s="3"/>
      <c r="O127" s="3"/>
      <c r="P127" s="3"/>
    </row>
    <row r="128" spans="1:16">
      <c r="A128" s="9"/>
      <c r="B128" s="3"/>
      <c r="C128" s="3"/>
      <c r="D128" s="3"/>
      <c r="E128" s="3"/>
      <c r="F128" s="3"/>
      <c r="G128" s="3"/>
      <c r="H128" s="3"/>
      <c r="I128" s="3"/>
      <c r="J128" s="3"/>
      <c r="K128" s="9"/>
      <c r="L128" s="9"/>
      <c r="M128" s="9"/>
      <c r="N128" s="3"/>
      <c r="O128" s="3"/>
      <c r="P128" s="3"/>
    </row>
    <row r="129" spans="1:16">
      <c r="A129" s="11" t="s">
        <v>20</v>
      </c>
      <c r="B129" s="8" t="s">
        <v>1076</v>
      </c>
      <c r="C129" s="8" t="s">
        <v>489</v>
      </c>
      <c r="D129" s="8"/>
      <c r="E129" s="8" t="s">
        <v>489</v>
      </c>
      <c r="F129" s="8"/>
      <c r="G129" s="8"/>
      <c r="H129" s="8"/>
      <c r="I129" s="8"/>
      <c r="J129" s="8"/>
      <c r="K129" s="8"/>
      <c r="L129" s="10">
        <v>10065</v>
      </c>
      <c r="M129" s="8" t="s">
        <v>563</v>
      </c>
      <c r="N129" s="3"/>
      <c r="O129" s="3"/>
      <c r="P129" s="3"/>
    </row>
    <row r="130" spans="1:16">
      <c r="A130" s="9"/>
      <c r="B130" s="9">
        <v>22577</v>
      </c>
      <c r="C130" s="9">
        <v>49762</v>
      </c>
      <c r="D130" s="9"/>
      <c r="E130" s="9">
        <v>9463</v>
      </c>
      <c r="F130" s="9"/>
      <c r="G130" s="9"/>
      <c r="H130" s="9"/>
      <c r="I130" s="9"/>
      <c r="J130" s="9"/>
      <c r="K130" s="9"/>
      <c r="L130" s="9"/>
      <c r="M130" s="11"/>
      <c r="N130" s="3"/>
      <c r="O130" s="3"/>
      <c r="P130" s="3"/>
    </row>
    <row r="131" spans="1:16">
      <c r="A131" s="9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9"/>
      <c r="M131" s="9"/>
      <c r="N131" s="3"/>
      <c r="O131" s="3"/>
      <c r="P131" s="3"/>
    </row>
    <row r="132" spans="1:16">
      <c r="A132" s="41" t="s">
        <v>22</v>
      </c>
      <c r="B132" s="37" t="s">
        <v>975</v>
      </c>
      <c r="C132" s="37" t="s">
        <v>369</v>
      </c>
      <c r="D132" s="37" t="s">
        <v>72</v>
      </c>
      <c r="E132" s="37" t="s">
        <v>1077</v>
      </c>
      <c r="F132" s="37" t="s">
        <v>72</v>
      </c>
      <c r="G132" s="37" t="s">
        <v>220</v>
      </c>
      <c r="H132" s="37"/>
      <c r="I132" s="37"/>
      <c r="J132" s="37"/>
      <c r="K132" s="37"/>
      <c r="L132" s="40">
        <v>9044</v>
      </c>
      <c r="M132" s="37" t="s">
        <v>92</v>
      </c>
      <c r="N132" s="3"/>
      <c r="O132" s="3"/>
      <c r="P132" s="3"/>
    </row>
    <row r="133" spans="1:16">
      <c r="A133" s="38"/>
      <c r="B133" s="40">
        <v>65776</v>
      </c>
      <c r="C133" s="38">
        <v>30487</v>
      </c>
      <c r="D133" s="38">
        <v>3088</v>
      </c>
      <c r="E133" s="38">
        <v>4991</v>
      </c>
      <c r="F133" s="38">
        <v>1574</v>
      </c>
      <c r="G133" s="38">
        <v>1834</v>
      </c>
      <c r="H133" s="38"/>
      <c r="I133" s="38"/>
      <c r="J133" s="38"/>
      <c r="K133" s="38"/>
      <c r="L133" s="38"/>
      <c r="M133" s="41"/>
      <c r="N133" s="3"/>
      <c r="O133" s="3"/>
      <c r="P133" s="3"/>
    </row>
    <row r="134" spans="1:16">
      <c r="A134" s="9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9"/>
      <c r="M134" s="9"/>
      <c r="N134" s="3"/>
      <c r="O134" s="3"/>
      <c r="P134" s="3"/>
    </row>
    <row r="135" spans="1:16">
      <c r="A135" s="11" t="s">
        <v>25</v>
      </c>
      <c r="B135" s="8"/>
      <c r="C135" s="8" t="s">
        <v>729</v>
      </c>
      <c r="D135" s="8" t="s">
        <v>730</v>
      </c>
      <c r="E135" s="8" t="s">
        <v>729</v>
      </c>
      <c r="F135" s="8"/>
      <c r="G135" s="8"/>
      <c r="H135" s="8"/>
      <c r="I135" s="8"/>
      <c r="J135" s="8"/>
      <c r="K135" s="8"/>
      <c r="L135" s="9">
        <v>38504</v>
      </c>
      <c r="M135" s="8" t="s">
        <v>731</v>
      </c>
      <c r="N135" s="3"/>
      <c r="O135" s="3"/>
      <c r="P135" s="3"/>
    </row>
    <row r="136" spans="1:16">
      <c r="A136" s="9"/>
      <c r="B136" s="10"/>
      <c r="C136" s="9">
        <v>56949</v>
      </c>
      <c r="D136" s="9">
        <v>5181</v>
      </c>
      <c r="E136" s="9">
        <v>10369</v>
      </c>
      <c r="F136" s="9"/>
      <c r="G136" s="9"/>
      <c r="H136" s="9"/>
      <c r="I136" s="9"/>
      <c r="J136" s="9"/>
      <c r="K136" s="9"/>
      <c r="L136" s="9"/>
      <c r="M136" s="11"/>
      <c r="N136" s="3"/>
      <c r="O136" s="3"/>
      <c r="P136" s="3"/>
    </row>
    <row r="137" spans="1:16">
      <c r="A137" s="9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9"/>
      <c r="M137" s="9"/>
      <c r="N137" s="3"/>
      <c r="O137" s="3"/>
      <c r="P137" s="3"/>
    </row>
    <row r="138" spans="1:16">
      <c r="A138" s="41" t="s">
        <v>27</v>
      </c>
      <c r="B138" s="37" t="s">
        <v>917</v>
      </c>
      <c r="C138" s="37" t="s">
        <v>568</v>
      </c>
      <c r="D138" s="37" t="s">
        <v>414</v>
      </c>
      <c r="E138" s="37" t="s">
        <v>568</v>
      </c>
      <c r="F138" s="37"/>
      <c r="G138" s="37"/>
      <c r="H138" s="37"/>
      <c r="I138" s="37"/>
      <c r="J138" s="37"/>
      <c r="K138" s="37"/>
      <c r="L138" s="38">
        <v>11866</v>
      </c>
      <c r="M138" s="37" t="s">
        <v>416</v>
      </c>
      <c r="N138" s="3"/>
      <c r="O138" s="3"/>
      <c r="P138" s="3"/>
    </row>
    <row r="139" spans="1:16">
      <c r="A139" s="38"/>
      <c r="B139" s="38">
        <v>23766</v>
      </c>
      <c r="C139" s="38">
        <v>57474</v>
      </c>
      <c r="D139" s="38">
        <v>3249</v>
      </c>
      <c r="E139" s="38">
        <v>9414</v>
      </c>
      <c r="F139" s="38"/>
      <c r="G139" s="38"/>
      <c r="H139" s="38"/>
      <c r="I139" s="38"/>
      <c r="J139" s="38"/>
      <c r="K139" s="38"/>
      <c r="L139" s="38"/>
      <c r="M139" s="41"/>
      <c r="N139" s="3"/>
      <c r="O139" s="3"/>
      <c r="P139" s="3"/>
    </row>
    <row r="140" spans="1:16">
      <c r="A140" s="9"/>
      <c r="B140" s="3"/>
      <c r="C140" s="3"/>
      <c r="D140" s="3"/>
      <c r="E140" s="3"/>
      <c r="F140" s="3"/>
      <c r="G140" s="3"/>
      <c r="H140" s="3"/>
      <c r="I140" s="3"/>
      <c r="J140" s="3"/>
      <c r="K140" s="9"/>
      <c r="L140" s="9"/>
      <c r="M140" s="9"/>
      <c r="N140" s="3"/>
      <c r="O140" s="3"/>
      <c r="P140" s="3"/>
    </row>
    <row r="141" spans="1:16">
      <c r="A141" s="11" t="s">
        <v>30</v>
      </c>
      <c r="B141" s="8" t="s">
        <v>865</v>
      </c>
      <c r="C141" s="8" t="s">
        <v>977</v>
      </c>
      <c r="D141" s="8" t="s">
        <v>1102</v>
      </c>
      <c r="E141" s="8" t="s">
        <v>977</v>
      </c>
      <c r="F141" s="8"/>
      <c r="G141" s="8"/>
      <c r="H141" s="8"/>
      <c r="I141" s="8"/>
      <c r="J141" s="8"/>
      <c r="K141" s="8"/>
      <c r="L141" s="9">
        <v>28797</v>
      </c>
      <c r="M141" s="8" t="s">
        <v>978</v>
      </c>
      <c r="N141" s="3"/>
      <c r="O141" s="3"/>
      <c r="P141" s="3"/>
    </row>
    <row r="142" spans="1:16">
      <c r="A142" s="9"/>
      <c r="B142" s="11" t="s">
        <v>865</v>
      </c>
      <c r="C142" s="9">
        <v>55707</v>
      </c>
      <c r="D142" s="9">
        <v>3931</v>
      </c>
      <c r="E142" s="9">
        <v>7365</v>
      </c>
      <c r="F142" s="9"/>
      <c r="G142" s="9"/>
      <c r="H142" s="9"/>
      <c r="I142" s="9"/>
      <c r="J142" s="9"/>
      <c r="K142" s="9"/>
      <c r="L142" s="9"/>
      <c r="M142" s="11"/>
      <c r="N142" s="3"/>
      <c r="O142" s="3"/>
      <c r="P142" s="3"/>
    </row>
    <row r="143" spans="1:16">
      <c r="A143" s="9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9"/>
      <c r="N143" s="3"/>
      <c r="O143" s="3"/>
      <c r="P143" s="3"/>
    </row>
    <row r="144" spans="1:16">
      <c r="A144" s="41" t="s">
        <v>31</v>
      </c>
      <c r="B144" s="37"/>
      <c r="C144" s="37" t="s">
        <v>979</v>
      </c>
      <c r="D144" s="37"/>
      <c r="E144" s="37" t="s">
        <v>979</v>
      </c>
      <c r="F144" s="37" t="s">
        <v>865</v>
      </c>
      <c r="G144" s="37"/>
      <c r="H144" s="37"/>
      <c r="I144" s="37"/>
      <c r="J144" s="37"/>
      <c r="K144" s="37" t="s">
        <v>980</v>
      </c>
      <c r="L144" s="38">
        <v>22912</v>
      </c>
      <c r="M144" s="37" t="s">
        <v>735</v>
      </c>
      <c r="N144" s="3"/>
      <c r="O144" s="3"/>
      <c r="P144" s="3"/>
    </row>
    <row r="145" spans="1:17">
      <c r="A145" s="38"/>
      <c r="B145" s="38"/>
      <c r="C145" s="38">
        <v>47458</v>
      </c>
      <c r="D145" s="38"/>
      <c r="E145" s="38">
        <v>8204</v>
      </c>
      <c r="F145" s="38"/>
      <c r="G145" s="38"/>
      <c r="H145" s="38"/>
      <c r="I145" s="38"/>
      <c r="J145" s="38"/>
      <c r="K145" s="38">
        <v>1260</v>
      </c>
      <c r="L145" s="38"/>
      <c r="M145" s="41"/>
      <c r="N145" s="3"/>
      <c r="O145" s="3"/>
      <c r="P145" s="3"/>
    </row>
    <row r="146" spans="1:17">
      <c r="A146" s="9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9"/>
      <c r="M146" s="9"/>
      <c r="N146" s="3"/>
      <c r="O146" s="3"/>
      <c r="P146" s="3"/>
    </row>
    <row r="147" spans="1:17">
      <c r="A147" s="11" t="s">
        <v>34</v>
      </c>
      <c r="B147" s="8" t="s">
        <v>1078</v>
      </c>
      <c r="C147" s="8" t="s">
        <v>795</v>
      </c>
      <c r="D147" s="8"/>
      <c r="E147" s="8" t="s">
        <v>795</v>
      </c>
      <c r="F147" s="8"/>
      <c r="G147" s="8"/>
      <c r="H147" s="8"/>
      <c r="I147" s="8"/>
      <c r="J147" s="8"/>
      <c r="K147" s="8"/>
      <c r="L147" s="9">
        <v>12599</v>
      </c>
      <c r="M147" s="8" t="s">
        <v>796</v>
      </c>
      <c r="N147" s="3"/>
      <c r="O147" s="3"/>
      <c r="P147" s="3"/>
    </row>
    <row r="148" spans="1:17">
      <c r="A148" s="9"/>
      <c r="B148" s="11">
        <v>18075</v>
      </c>
      <c r="C148" s="9">
        <v>55705</v>
      </c>
      <c r="D148" s="9"/>
      <c r="E148" s="9">
        <v>8246</v>
      </c>
      <c r="F148" s="9"/>
      <c r="G148" s="9"/>
      <c r="H148" s="9"/>
      <c r="I148" s="9"/>
      <c r="J148" s="9"/>
      <c r="K148" s="9"/>
      <c r="L148" s="9"/>
      <c r="M148" s="11"/>
      <c r="N148" s="3"/>
      <c r="O148" s="3"/>
      <c r="P148" s="3"/>
    </row>
    <row r="149" spans="1:17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9"/>
      <c r="N149" s="3"/>
      <c r="O149" s="3"/>
      <c r="P149" s="3"/>
    </row>
    <row r="150" spans="1:17">
      <c r="A150" s="41" t="s">
        <v>37</v>
      </c>
      <c r="B150" s="37" t="s">
        <v>1079</v>
      </c>
      <c r="C150" s="37" t="s">
        <v>275</v>
      </c>
      <c r="D150" s="37" t="s">
        <v>1103</v>
      </c>
      <c r="E150" s="37" t="s">
        <v>275</v>
      </c>
      <c r="F150" s="37"/>
      <c r="G150" s="37" t="s">
        <v>865</v>
      </c>
      <c r="H150" s="37"/>
      <c r="I150" s="37"/>
      <c r="J150" s="37"/>
      <c r="K150" s="40"/>
      <c r="L150" s="38">
        <v>6301</v>
      </c>
      <c r="M150" s="37" t="s">
        <v>737</v>
      </c>
      <c r="N150" s="3"/>
      <c r="O150" s="3"/>
      <c r="P150" s="3"/>
    </row>
    <row r="151" spans="1:17">
      <c r="A151" s="38"/>
      <c r="B151" s="38">
        <v>47773</v>
      </c>
      <c r="C151" s="38">
        <v>21491</v>
      </c>
      <c r="D151" s="38">
        <v>4730</v>
      </c>
      <c r="E151" s="38">
        <v>4826</v>
      </c>
      <c r="F151" s="38"/>
      <c r="G151" s="38"/>
      <c r="H151" s="38"/>
      <c r="I151" s="38"/>
      <c r="J151" s="38"/>
      <c r="K151" s="38"/>
      <c r="L151" s="38"/>
      <c r="M151" s="41"/>
      <c r="N151" s="3"/>
      <c r="O151" s="3"/>
      <c r="P151" s="3"/>
    </row>
    <row r="152" spans="1:17">
      <c r="A152" s="9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9"/>
      <c r="M152" s="9"/>
      <c r="N152" s="3"/>
      <c r="O152" s="3"/>
      <c r="P152" s="3"/>
    </row>
    <row r="153" spans="1:17">
      <c r="A153" s="11" t="s">
        <v>39</v>
      </c>
      <c r="B153" s="8" t="s">
        <v>1080</v>
      </c>
      <c r="C153" s="8" t="s">
        <v>982</v>
      </c>
      <c r="D153" s="8" t="s">
        <v>1104</v>
      </c>
      <c r="E153" s="8" t="s">
        <v>982</v>
      </c>
      <c r="F153" s="8"/>
      <c r="G153" s="8"/>
      <c r="H153" s="8"/>
      <c r="I153" s="8"/>
      <c r="J153" s="8"/>
      <c r="K153" s="8"/>
      <c r="L153" s="9">
        <v>6858</v>
      </c>
      <c r="M153" s="8" t="s">
        <v>40</v>
      </c>
      <c r="N153" s="3"/>
      <c r="O153" s="3"/>
      <c r="P153" s="3"/>
    </row>
    <row r="154" spans="1:17">
      <c r="A154" s="9"/>
      <c r="B154" s="9">
        <v>19501</v>
      </c>
      <c r="C154" s="9">
        <v>62240</v>
      </c>
      <c r="D154" s="9">
        <v>3525</v>
      </c>
      <c r="E154" s="9">
        <v>10650</v>
      </c>
      <c r="F154" s="9"/>
      <c r="G154" s="9"/>
      <c r="H154" s="9"/>
      <c r="I154" s="9"/>
      <c r="J154" s="9"/>
      <c r="K154" s="9"/>
      <c r="L154" s="9"/>
      <c r="M154" s="11"/>
      <c r="N154" s="3"/>
      <c r="O154" s="3"/>
      <c r="P154" s="3"/>
    </row>
    <row r="155" spans="1:17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7">
      <c r="A156" s="41" t="s">
        <v>43</v>
      </c>
      <c r="B156" s="37"/>
      <c r="C156" s="37" t="s">
        <v>983</v>
      </c>
      <c r="D156" s="37"/>
      <c r="E156" s="37" t="s">
        <v>983</v>
      </c>
      <c r="F156" s="37"/>
      <c r="G156" s="37" t="s">
        <v>865</v>
      </c>
      <c r="H156" s="37"/>
      <c r="I156" s="37"/>
      <c r="J156" s="37"/>
      <c r="K156" s="37"/>
      <c r="L156" s="38">
        <v>33112</v>
      </c>
      <c r="M156" s="37" t="s">
        <v>44</v>
      </c>
      <c r="N156" s="3"/>
      <c r="O156" s="3"/>
      <c r="P156" s="3"/>
      <c r="Q156" s="2"/>
    </row>
    <row r="157" spans="1:17">
      <c r="A157" s="38"/>
      <c r="B157" s="41"/>
      <c r="C157" s="38">
        <v>48674</v>
      </c>
      <c r="D157" s="38"/>
      <c r="E157" s="38">
        <v>8674</v>
      </c>
      <c r="F157" s="38"/>
      <c r="G157" s="38"/>
      <c r="H157" s="38"/>
      <c r="I157" s="38"/>
      <c r="J157" s="38"/>
      <c r="K157" s="38"/>
      <c r="L157" s="38"/>
      <c r="M157" s="41"/>
      <c r="N157" s="3"/>
      <c r="O157" s="3"/>
      <c r="P157" s="3"/>
      <c r="Q157" s="2"/>
    </row>
    <row r="158" spans="1:17">
      <c r="A158" s="9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9"/>
      <c r="M158" s="9"/>
      <c r="N158" s="3"/>
      <c r="O158" s="3"/>
      <c r="P158" s="3"/>
      <c r="Q158" s="2"/>
    </row>
    <row r="159" spans="1:17">
      <c r="A159" s="11" t="s">
        <v>46</v>
      </c>
      <c r="B159" s="8" t="s">
        <v>984</v>
      </c>
      <c r="C159" s="8" t="s">
        <v>985</v>
      </c>
      <c r="D159" s="8"/>
      <c r="E159" s="8" t="s">
        <v>985</v>
      </c>
      <c r="F159" s="8"/>
      <c r="G159" s="8"/>
      <c r="H159" s="8"/>
      <c r="I159" s="8"/>
      <c r="J159" s="8"/>
      <c r="K159" s="8"/>
      <c r="L159" s="9">
        <v>9112</v>
      </c>
      <c r="M159" s="8" t="s">
        <v>419</v>
      </c>
      <c r="N159" s="3"/>
      <c r="O159" s="3"/>
      <c r="P159" s="3"/>
      <c r="Q159" s="2"/>
    </row>
    <row r="160" spans="1:17">
      <c r="A160" s="9"/>
      <c r="B160" s="9">
        <v>17911</v>
      </c>
      <c r="C160" s="9">
        <v>61502</v>
      </c>
      <c r="D160" s="9"/>
      <c r="E160" s="9">
        <v>7906</v>
      </c>
      <c r="F160" s="9"/>
      <c r="G160" s="9"/>
      <c r="H160" s="9"/>
      <c r="I160" s="9"/>
      <c r="J160" s="9"/>
      <c r="K160" s="9"/>
      <c r="L160" s="9"/>
      <c r="M160" s="11"/>
      <c r="N160" s="3"/>
      <c r="O160" s="3"/>
      <c r="P160" s="3"/>
      <c r="Q160" s="2"/>
    </row>
    <row r="161" spans="1:17">
      <c r="A161" s="9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9"/>
      <c r="M161" s="9"/>
      <c r="N161" s="3"/>
      <c r="O161" s="3"/>
      <c r="P161" s="3"/>
      <c r="Q161" s="2"/>
    </row>
    <row r="162" spans="1:17">
      <c r="A162" s="41" t="s">
        <v>48</v>
      </c>
      <c r="B162" s="37"/>
      <c r="C162" s="37" t="s">
        <v>986</v>
      </c>
      <c r="D162" s="37"/>
      <c r="E162" s="37" t="s">
        <v>986</v>
      </c>
      <c r="F162" s="37"/>
      <c r="G162" s="37" t="s">
        <v>482</v>
      </c>
      <c r="H162" s="37"/>
      <c r="I162" s="37"/>
      <c r="J162" s="37"/>
      <c r="K162" s="37"/>
      <c r="L162" s="38">
        <v>24203</v>
      </c>
      <c r="M162" s="37" t="s">
        <v>884</v>
      </c>
      <c r="N162" s="3"/>
      <c r="O162" s="3"/>
      <c r="P162" s="3"/>
      <c r="Q162" s="2"/>
    </row>
    <row r="163" spans="1:17">
      <c r="A163" s="38"/>
      <c r="B163" s="38"/>
      <c r="C163" s="38">
        <v>56350</v>
      </c>
      <c r="D163" s="38"/>
      <c r="E163" s="38">
        <v>8581</v>
      </c>
      <c r="F163" s="38"/>
      <c r="G163" s="38">
        <v>3431</v>
      </c>
      <c r="H163" s="38"/>
      <c r="I163" s="38"/>
      <c r="J163" s="38"/>
      <c r="K163" s="38"/>
      <c r="L163" s="38"/>
      <c r="M163" s="41"/>
      <c r="N163" s="3"/>
      <c r="O163" s="3"/>
      <c r="P163" s="3"/>
      <c r="Q163" s="2"/>
    </row>
    <row r="164" spans="1:17">
      <c r="A164" s="9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9"/>
      <c r="M164" s="9"/>
      <c r="N164" s="3"/>
      <c r="O164" s="3"/>
      <c r="P164" s="3"/>
      <c r="Q164" s="2"/>
    </row>
    <row r="165" spans="1:17">
      <c r="A165" s="11" t="s">
        <v>50</v>
      </c>
      <c r="B165" s="8" t="s">
        <v>865</v>
      </c>
      <c r="C165" s="8" t="s">
        <v>987</v>
      </c>
      <c r="D165" s="8"/>
      <c r="E165" s="8" t="s">
        <v>987</v>
      </c>
      <c r="F165" s="8"/>
      <c r="G165" s="8" t="s">
        <v>1081</v>
      </c>
      <c r="H165" s="8"/>
      <c r="I165" s="8"/>
      <c r="J165" s="8"/>
      <c r="K165" s="8"/>
      <c r="L165" s="9">
        <v>27875</v>
      </c>
      <c r="M165" s="8" t="s">
        <v>421</v>
      </c>
      <c r="N165" s="3"/>
      <c r="O165" s="3"/>
      <c r="P165" s="3"/>
      <c r="Q165" s="2"/>
    </row>
    <row r="166" spans="1:17">
      <c r="A166" s="9"/>
      <c r="B166" s="11" t="s">
        <v>865</v>
      </c>
      <c r="C166" s="9">
        <v>55168</v>
      </c>
      <c r="D166" s="9"/>
      <c r="E166" s="9">
        <v>12406</v>
      </c>
      <c r="F166" s="9"/>
      <c r="G166" s="9">
        <v>2974</v>
      </c>
      <c r="H166" s="9"/>
      <c r="I166" s="9"/>
      <c r="J166" s="9"/>
      <c r="K166" s="9"/>
      <c r="L166" s="9"/>
      <c r="M166" s="11"/>
      <c r="N166" s="3"/>
      <c r="O166" s="3"/>
      <c r="P166" s="3"/>
      <c r="Q166" s="2"/>
    </row>
    <row r="167" spans="1:17">
      <c r="A167" s="9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9"/>
      <c r="M167" s="9"/>
      <c r="N167" s="3"/>
      <c r="O167" s="3"/>
      <c r="P167" s="3"/>
      <c r="Q167" s="2"/>
    </row>
    <row r="168" spans="1:17">
      <c r="A168" s="41" t="s">
        <v>51</v>
      </c>
      <c r="B168" s="37" t="s">
        <v>988</v>
      </c>
      <c r="C168" s="37" t="s">
        <v>1082</v>
      </c>
      <c r="D168" s="37"/>
      <c r="E168" s="37" t="s">
        <v>1082</v>
      </c>
      <c r="F168" s="37"/>
      <c r="G168" s="37" t="s">
        <v>870</v>
      </c>
      <c r="H168" s="37"/>
      <c r="I168" s="37"/>
      <c r="J168" s="37"/>
      <c r="K168" s="37" t="s">
        <v>1083</v>
      </c>
      <c r="L168" s="38">
        <v>10453</v>
      </c>
      <c r="M168" s="37" t="s">
        <v>990</v>
      </c>
      <c r="N168" s="3"/>
      <c r="O168" s="3"/>
      <c r="P168" s="3"/>
      <c r="Q168" s="2"/>
    </row>
    <row r="169" spans="1:17">
      <c r="A169" s="38"/>
      <c r="B169" s="38">
        <v>48869</v>
      </c>
      <c r="C169" s="38">
        <v>17960</v>
      </c>
      <c r="D169" s="38"/>
      <c r="E169" s="38">
        <v>4507</v>
      </c>
      <c r="F169" s="38"/>
      <c r="G169" s="41" t="s">
        <v>870</v>
      </c>
      <c r="H169" s="41"/>
      <c r="I169" s="41"/>
      <c r="J169" s="41"/>
      <c r="K169" s="41">
        <v>1009</v>
      </c>
      <c r="L169" s="38"/>
      <c r="M169" s="41"/>
      <c r="N169" s="3"/>
      <c r="O169" s="3"/>
      <c r="P169" s="3"/>
      <c r="Q169" s="2"/>
    </row>
    <row r="170" spans="1:17">
      <c r="A170" s="9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9"/>
      <c r="M170" s="9"/>
      <c r="N170" s="3"/>
      <c r="O170" s="3"/>
      <c r="P170" s="3"/>
      <c r="Q170" s="2"/>
    </row>
    <row r="171" spans="1:17">
      <c r="A171" s="11" t="s">
        <v>53</v>
      </c>
      <c r="B171" s="8" t="s">
        <v>1084</v>
      </c>
      <c r="C171" s="8" t="s">
        <v>581</v>
      </c>
      <c r="D171" s="8"/>
      <c r="E171" s="8" t="s">
        <v>581</v>
      </c>
      <c r="F171" s="8"/>
      <c r="G171" s="8" t="s">
        <v>1085</v>
      </c>
      <c r="H171" s="8"/>
      <c r="I171" s="8"/>
      <c r="J171" s="8"/>
      <c r="K171" s="8"/>
      <c r="L171" s="9">
        <v>14804</v>
      </c>
      <c r="M171" s="8" t="s">
        <v>584</v>
      </c>
      <c r="N171" s="3"/>
      <c r="O171" s="3"/>
      <c r="P171" s="3"/>
      <c r="Q171" s="2"/>
    </row>
    <row r="172" spans="1:17">
      <c r="A172" s="9"/>
      <c r="B172" s="9">
        <v>25970</v>
      </c>
      <c r="C172" s="9">
        <v>59593</v>
      </c>
      <c r="D172" s="9"/>
      <c r="E172" s="9">
        <v>11367</v>
      </c>
      <c r="F172" s="9"/>
      <c r="G172" s="9">
        <v>1781</v>
      </c>
      <c r="H172" s="9"/>
      <c r="I172" s="9"/>
      <c r="J172" s="9"/>
      <c r="K172" s="9"/>
      <c r="L172" s="9"/>
      <c r="M172" s="11"/>
      <c r="N172" s="3"/>
      <c r="O172" s="3"/>
      <c r="P172" s="3"/>
      <c r="Q172" s="2"/>
    </row>
    <row r="173" spans="1:17">
      <c r="A173" s="9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9"/>
      <c r="M173" s="9"/>
      <c r="N173" s="3"/>
      <c r="O173" s="3"/>
      <c r="P173" s="3"/>
      <c r="Q173" s="2"/>
    </row>
    <row r="174" spans="1:17">
      <c r="A174" s="41" t="s">
        <v>55</v>
      </c>
      <c r="B174" s="37"/>
      <c r="C174" s="37" t="s">
        <v>804</v>
      </c>
      <c r="D174" s="37"/>
      <c r="E174" s="37" t="s">
        <v>804</v>
      </c>
      <c r="F174" s="37" t="s">
        <v>870</v>
      </c>
      <c r="G174" s="37"/>
      <c r="H174" s="37"/>
      <c r="I174" s="37"/>
      <c r="J174" s="37"/>
      <c r="K174" s="37"/>
      <c r="L174" s="38">
        <v>34000</v>
      </c>
      <c r="M174" s="37" t="s">
        <v>805</v>
      </c>
      <c r="N174" s="3"/>
      <c r="O174" s="3"/>
      <c r="P174" s="3"/>
      <c r="Q174" s="2"/>
    </row>
    <row r="175" spans="1:17">
      <c r="A175" s="38"/>
      <c r="B175" s="40"/>
      <c r="C175" s="40">
        <v>45759</v>
      </c>
      <c r="D175" s="40"/>
      <c r="E175" s="40">
        <v>8123</v>
      </c>
      <c r="F175" s="38"/>
      <c r="G175" s="38"/>
      <c r="H175" s="38"/>
      <c r="I175" s="38"/>
      <c r="J175" s="38"/>
      <c r="K175" s="38"/>
      <c r="L175" s="38"/>
      <c r="M175" s="41"/>
      <c r="N175" s="3"/>
      <c r="O175" s="3"/>
      <c r="P175" s="3"/>
      <c r="Q175" s="2"/>
    </row>
    <row r="176" spans="1:17">
      <c r="A176" s="9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9"/>
      <c r="M176" s="9"/>
      <c r="N176" s="3"/>
      <c r="O176" s="3"/>
      <c r="P176" s="3"/>
      <c r="Q176" s="2"/>
    </row>
    <row r="177" spans="1:17">
      <c r="A177" s="11" t="s">
        <v>57</v>
      </c>
      <c r="B177" s="8" t="s">
        <v>1086</v>
      </c>
      <c r="C177" s="8"/>
      <c r="D177" s="8" t="s">
        <v>1105</v>
      </c>
      <c r="E177" s="8"/>
      <c r="F177" s="8" t="s">
        <v>1087</v>
      </c>
      <c r="G177" s="8" t="s">
        <v>994</v>
      </c>
      <c r="H177" s="8"/>
      <c r="I177" s="8"/>
      <c r="J177" s="8"/>
      <c r="K177" s="8"/>
      <c r="L177" s="9">
        <v>26111</v>
      </c>
      <c r="M177" s="8" t="s">
        <v>1088</v>
      </c>
      <c r="N177" s="3"/>
      <c r="O177" s="3"/>
      <c r="P177" s="3"/>
      <c r="Q177" s="2"/>
    </row>
    <row r="178" spans="1:17">
      <c r="A178" s="9"/>
      <c r="B178" s="10">
        <v>42132</v>
      </c>
      <c r="C178" s="10"/>
      <c r="D178" s="10">
        <v>2217</v>
      </c>
      <c r="E178" s="10"/>
      <c r="F178" s="9">
        <v>1207</v>
      </c>
      <c r="G178" s="10">
        <v>2880</v>
      </c>
      <c r="H178" s="10"/>
      <c r="I178" s="10"/>
      <c r="J178" s="10"/>
      <c r="K178" s="9"/>
      <c r="L178" s="9"/>
      <c r="M178" s="11"/>
      <c r="N178" s="3"/>
      <c r="O178" s="3"/>
      <c r="P178" s="3"/>
      <c r="Q178" s="2"/>
    </row>
    <row r="179" spans="1:17">
      <c r="A179" s="9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9"/>
      <c r="M179" s="9"/>
      <c r="N179" s="3"/>
      <c r="O179" s="3"/>
      <c r="P179" s="3"/>
      <c r="Q179" s="2"/>
    </row>
    <row r="180" spans="1:17">
      <c r="A180" s="41" t="s">
        <v>60</v>
      </c>
      <c r="B180" s="37" t="s">
        <v>666</v>
      </c>
      <c r="C180" s="37" t="s">
        <v>1089</v>
      </c>
      <c r="D180" s="37"/>
      <c r="E180" s="37" t="s">
        <v>666</v>
      </c>
      <c r="F180" s="37" t="s">
        <v>870</v>
      </c>
      <c r="G180" s="37" t="s">
        <v>1089</v>
      </c>
      <c r="H180" s="37"/>
      <c r="I180" s="37"/>
      <c r="J180" s="37"/>
      <c r="K180" s="40"/>
      <c r="L180" s="38">
        <v>17137</v>
      </c>
      <c r="M180" s="37" t="s">
        <v>667</v>
      </c>
      <c r="N180" s="3"/>
      <c r="O180" s="3"/>
      <c r="P180" s="3"/>
      <c r="Q180" s="2"/>
    </row>
    <row r="181" spans="1:17">
      <c r="A181" s="38"/>
      <c r="B181" s="40">
        <v>47820</v>
      </c>
      <c r="C181" s="38">
        <v>17311</v>
      </c>
      <c r="D181" s="38"/>
      <c r="E181" s="40">
        <v>6792</v>
      </c>
      <c r="F181" s="38"/>
      <c r="G181" s="38">
        <v>2688</v>
      </c>
      <c r="H181" s="38"/>
      <c r="I181" s="38"/>
      <c r="J181" s="38"/>
      <c r="K181" s="38"/>
      <c r="L181" s="38"/>
      <c r="M181" s="41"/>
      <c r="N181" s="3"/>
      <c r="O181" s="3"/>
      <c r="P181" s="3"/>
      <c r="Q181" s="2"/>
    </row>
    <row r="182" spans="1:17">
      <c r="A182" s="9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9"/>
      <c r="M182" s="9"/>
      <c r="N182" s="3"/>
      <c r="O182" s="3"/>
      <c r="P182" s="3"/>
      <c r="Q182" s="2"/>
    </row>
    <row r="183" spans="1:17">
      <c r="A183" s="11" t="s">
        <v>61</v>
      </c>
      <c r="B183" s="8" t="s">
        <v>1090</v>
      </c>
      <c r="C183" s="8" t="s">
        <v>670</v>
      </c>
      <c r="D183" s="8" t="s">
        <v>671</v>
      </c>
      <c r="E183" s="8" t="s">
        <v>670</v>
      </c>
      <c r="F183" s="8"/>
      <c r="G183" s="8" t="s">
        <v>870</v>
      </c>
      <c r="H183" s="8"/>
      <c r="I183" s="8"/>
      <c r="J183" s="8"/>
      <c r="K183" s="10"/>
      <c r="L183" s="9">
        <v>14197</v>
      </c>
      <c r="M183" s="8" t="s">
        <v>672</v>
      </c>
      <c r="N183" s="3"/>
      <c r="O183" s="3"/>
      <c r="P183" s="3"/>
      <c r="Q183" s="2"/>
    </row>
    <row r="184" spans="1:17">
      <c r="A184" s="9"/>
      <c r="B184" s="10">
        <v>21539</v>
      </c>
      <c r="C184" s="9">
        <v>57784</v>
      </c>
      <c r="D184" s="9">
        <v>4651</v>
      </c>
      <c r="E184" s="10">
        <v>9986</v>
      </c>
      <c r="F184" s="9"/>
      <c r="G184" s="9"/>
      <c r="H184" s="9"/>
      <c r="I184" s="9"/>
      <c r="J184" s="9"/>
      <c r="K184" s="9"/>
      <c r="L184" s="9"/>
      <c r="M184" s="11"/>
      <c r="N184" s="3"/>
      <c r="O184" s="3"/>
      <c r="P184" s="3"/>
      <c r="Q184" s="2"/>
    </row>
    <row r="185" spans="1:17">
      <c r="A185" s="9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9"/>
      <c r="M185" s="9"/>
      <c r="N185" s="3"/>
      <c r="O185" s="3"/>
      <c r="P185" s="3"/>
      <c r="Q185" s="2"/>
    </row>
    <row r="186" spans="1:17">
      <c r="A186" s="41" t="s">
        <v>62</v>
      </c>
      <c r="B186" s="37" t="s">
        <v>1091</v>
      </c>
      <c r="C186" s="37" t="s">
        <v>997</v>
      </c>
      <c r="D186" s="37" t="s">
        <v>1091</v>
      </c>
      <c r="E186" s="37" t="s">
        <v>997</v>
      </c>
      <c r="F186" s="37"/>
      <c r="G186" s="37" t="s">
        <v>1091</v>
      </c>
      <c r="H186" s="37"/>
      <c r="I186" s="37"/>
      <c r="J186" s="37"/>
      <c r="K186" s="40"/>
      <c r="L186" s="38">
        <v>14468</v>
      </c>
      <c r="M186" s="37" t="s">
        <v>998</v>
      </c>
      <c r="N186" s="3"/>
      <c r="O186" s="3"/>
      <c r="P186" s="3"/>
      <c r="Q186" s="2"/>
    </row>
    <row r="187" spans="1:17">
      <c r="A187" s="38"/>
      <c r="B187" s="40">
        <v>24021</v>
      </c>
      <c r="C187" s="40">
        <v>59495</v>
      </c>
      <c r="D187" s="40">
        <v>1854</v>
      </c>
      <c r="E187" s="40">
        <v>9716</v>
      </c>
      <c r="F187" s="38"/>
      <c r="G187" s="38">
        <v>2352</v>
      </c>
      <c r="H187" s="38"/>
      <c r="I187" s="38"/>
      <c r="J187" s="38"/>
      <c r="K187" s="40"/>
      <c r="L187" s="38"/>
      <c r="M187" s="41"/>
      <c r="N187" s="3"/>
      <c r="O187" s="3"/>
      <c r="P187" s="3"/>
      <c r="Q187" s="2"/>
    </row>
    <row r="188" spans="1:17">
      <c r="A188" s="9"/>
      <c r="B188" s="26"/>
      <c r="C188" s="27"/>
      <c r="D188" s="27"/>
      <c r="E188" s="27"/>
      <c r="F188" s="27"/>
      <c r="G188" s="27"/>
      <c r="H188" s="27"/>
      <c r="I188" s="27"/>
      <c r="J188" s="27"/>
      <c r="K188" s="9"/>
      <c r="L188" s="9"/>
      <c r="M188" s="9"/>
      <c r="N188" s="3"/>
      <c r="O188" s="3"/>
      <c r="P188" s="3"/>
      <c r="Q188" s="2"/>
    </row>
    <row r="189" spans="1:17">
      <c r="A189" s="11" t="s">
        <v>64</v>
      </c>
      <c r="B189" s="8" t="s">
        <v>800</v>
      </c>
      <c r="C189" s="8" t="s">
        <v>999</v>
      </c>
      <c r="D189" s="8"/>
      <c r="E189" s="8" t="s">
        <v>999</v>
      </c>
      <c r="F189" s="8" t="s">
        <v>870</v>
      </c>
      <c r="G189" s="8" t="s">
        <v>999</v>
      </c>
      <c r="H189" s="8"/>
      <c r="I189" s="8"/>
      <c r="J189" s="8"/>
      <c r="K189" s="10"/>
      <c r="L189" s="9">
        <v>13515</v>
      </c>
      <c r="M189" s="8" t="s">
        <v>507</v>
      </c>
      <c r="N189" s="3"/>
      <c r="O189" s="3"/>
      <c r="P189" s="3"/>
      <c r="Q189" s="2"/>
    </row>
    <row r="190" spans="1:17">
      <c r="A190" s="9"/>
      <c r="B190" s="10">
        <v>21984</v>
      </c>
      <c r="C190" s="10">
        <v>51424</v>
      </c>
      <c r="D190" s="10"/>
      <c r="E190" s="10">
        <v>8686</v>
      </c>
      <c r="F190" s="9"/>
      <c r="G190" s="10">
        <v>3354</v>
      </c>
      <c r="H190" s="10"/>
      <c r="I190" s="10"/>
      <c r="J190" s="10"/>
      <c r="K190" s="10"/>
      <c r="L190" s="9"/>
      <c r="M190" s="9"/>
      <c r="N190" s="3"/>
      <c r="O190" s="3"/>
      <c r="P190" s="3"/>
      <c r="Q190" s="2"/>
    </row>
    <row r="191" spans="1:17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3"/>
      <c r="O191" s="3"/>
      <c r="P191" s="3"/>
      <c r="Q191" s="2"/>
    </row>
    <row r="192" spans="1:17">
      <c r="A192" s="11" t="s">
        <v>66</v>
      </c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2"/>
    </row>
    <row r="193" spans="1:17">
      <c r="A193" s="9" t="s">
        <v>1106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2"/>
    </row>
    <row r="194" spans="1:17">
      <c r="A194" s="9" t="s">
        <v>1107</v>
      </c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2"/>
    </row>
    <row r="195" spans="1:17">
      <c r="A195" s="9" t="s">
        <v>1108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2"/>
    </row>
    <row r="196" spans="1:17">
      <c r="A196" s="9" t="s">
        <v>1109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2"/>
    </row>
    <row r="197" spans="1:17">
      <c r="A197" s="67" t="s">
        <v>1093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2"/>
    </row>
    <row r="198" spans="1:17">
      <c r="A198" s="9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2"/>
    </row>
    <row r="199" spans="1:17">
      <c r="A199" s="72" t="s">
        <v>751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2"/>
    </row>
    <row r="200" spans="1:17">
      <c r="A200" s="9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2"/>
    </row>
    <row r="201" spans="1:17">
      <c r="A201" s="9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2"/>
    </row>
    <row r="202" spans="1:17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2"/>
    </row>
    <row r="203" spans="1:17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2"/>
    </row>
    <row r="204" spans="1:17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2"/>
    </row>
    <row r="205" spans="1:17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2"/>
    </row>
    <row r="206" spans="1:17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</sheetData>
  <hyperlinks>
    <hyperlink ref="A199" r:id="rId1"/>
  </hyperlinks>
  <pageMargins left="0.7" right="0.7" top="0.75" bottom="0.75" header="0.3" footer="0.3"/>
  <pageSetup paperSize="5" scale="64" fitToHeight="4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3"/>
  <sheetViews>
    <sheetView workbookViewId="0"/>
  </sheetViews>
  <sheetFormatPr defaultColWidth="15.77734375" defaultRowHeight="15.75"/>
  <cols>
    <col min="1" max="1" width="17.77734375" customWidth="1"/>
    <col min="4" max="4" width="15.77734375" style="68"/>
    <col min="8" max="8" width="15.77734375" style="68"/>
    <col min="11" max="11" width="25.77734375" customWidth="1"/>
  </cols>
  <sheetData>
    <row r="1" spans="1:14" ht="20.25">
      <c r="A1" s="29" t="s">
        <v>0</v>
      </c>
      <c r="B1" s="5"/>
      <c r="C1" s="5"/>
      <c r="D1" s="5"/>
      <c r="E1" s="5"/>
      <c r="F1" s="5"/>
      <c r="G1" s="3"/>
      <c r="H1" s="3"/>
      <c r="I1" s="3"/>
      <c r="J1" s="3"/>
      <c r="K1" s="3"/>
      <c r="L1" s="3"/>
      <c r="M1" s="3"/>
      <c r="N1" s="3"/>
    </row>
    <row r="2" spans="1:14" ht="20.25">
      <c r="A2" s="29" t="s">
        <v>1206</v>
      </c>
      <c r="B2" s="5"/>
      <c r="C2" s="5"/>
      <c r="D2" s="5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A4" s="53"/>
      <c r="B4" s="54"/>
      <c r="C4" s="54"/>
      <c r="D4" s="54"/>
      <c r="E4" s="54"/>
      <c r="F4" s="54"/>
      <c r="G4" s="54"/>
      <c r="H4" s="54"/>
      <c r="I4" s="54"/>
      <c r="J4" s="54" t="s">
        <v>759</v>
      </c>
      <c r="K4" s="53"/>
      <c r="L4" s="3"/>
      <c r="M4" s="3"/>
      <c r="N4" s="3"/>
    </row>
    <row r="5" spans="1:14" ht="17.25">
      <c r="A5" s="55" t="s">
        <v>1</v>
      </c>
      <c r="B5" s="56" t="s">
        <v>1110</v>
      </c>
      <c r="C5" s="57" t="s">
        <v>2</v>
      </c>
      <c r="D5" s="57" t="s">
        <v>80</v>
      </c>
      <c r="E5" s="57" t="s">
        <v>760</v>
      </c>
      <c r="F5" s="57" t="s">
        <v>825</v>
      </c>
      <c r="G5" s="57" t="s">
        <v>826</v>
      </c>
      <c r="H5" s="57" t="s">
        <v>200</v>
      </c>
      <c r="I5" s="57" t="s">
        <v>195</v>
      </c>
      <c r="J5" s="58" t="s">
        <v>761</v>
      </c>
      <c r="K5" s="57" t="s">
        <v>3</v>
      </c>
      <c r="L5" s="3"/>
      <c r="M5" s="3"/>
      <c r="N5" s="3"/>
    </row>
    <row r="6" spans="1:14">
      <c r="A6" s="3"/>
      <c r="B6" s="6"/>
      <c r="C6" s="6"/>
      <c r="D6" s="6"/>
      <c r="E6" s="6"/>
      <c r="F6" s="6"/>
      <c r="G6" s="6"/>
      <c r="H6" s="6"/>
      <c r="I6" s="6"/>
      <c r="J6" s="6"/>
      <c r="K6" s="3"/>
      <c r="L6" s="3"/>
      <c r="M6" s="3"/>
      <c r="N6" s="3"/>
    </row>
    <row r="7" spans="1:14">
      <c r="A7" s="7" t="s">
        <v>4</v>
      </c>
      <c r="B7" s="8" t="s">
        <v>1111</v>
      </c>
      <c r="C7" s="8" t="s">
        <v>684</v>
      </c>
      <c r="D7" s="8" t="s">
        <v>74</v>
      </c>
      <c r="E7" s="8" t="s">
        <v>684</v>
      </c>
      <c r="F7" s="8"/>
      <c r="G7" s="8"/>
      <c r="H7" s="8"/>
      <c r="I7" s="10" t="s">
        <v>1112</v>
      </c>
      <c r="J7" s="9">
        <v>17840</v>
      </c>
      <c r="K7" s="8" t="s">
        <v>685</v>
      </c>
      <c r="L7" s="3"/>
      <c r="M7" s="3"/>
      <c r="N7" s="3"/>
    </row>
    <row r="8" spans="1:14">
      <c r="A8" s="3"/>
      <c r="B8" s="10">
        <v>31458</v>
      </c>
      <c r="C8" s="10">
        <v>60897</v>
      </c>
      <c r="D8" s="10">
        <v>5163</v>
      </c>
      <c r="E8" s="10">
        <v>7438</v>
      </c>
      <c r="F8" s="9"/>
      <c r="G8" s="9"/>
      <c r="H8" s="9"/>
      <c r="I8" s="9">
        <v>1853</v>
      </c>
      <c r="J8" s="9"/>
      <c r="K8" s="11"/>
      <c r="L8" s="3"/>
      <c r="M8" s="3"/>
      <c r="N8" s="3"/>
    </row>
    <row r="9" spans="1:14">
      <c r="A9" s="3"/>
      <c r="B9" s="9"/>
      <c r="C9" s="9"/>
      <c r="D9" s="9"/>
      <c r="E9" s="9"/>
      <c r="F9" s="9"/>
      <c r="G9" s="9"/>
      <c r="H9" s="9"/>
      <c r="I9" s="9"/>
      <c r="J9" s="9"/>
      <c r="K9" s="9"/>
      <c r="L9" s="3"/>
      <c r="M9" s="3"/>
      <c r="N9" s="3"/>
    </row>
    <row r="10" spans="1:14">
      <c r="A10" s="36" t="s">
        <v>6</v>
      </c>
      <c r="B10" s="37" t="s">
        <v>1113</v>
      </c>
      <c r="C10" s="37" t="s">
        <v>908</v>
      </c>
      <c r="D10" s="37" t="s">
        <v>1207</v>
      </c>
      <c r="E10" s="37" t="s">
        <v>908</v>
      </c>
      <c r="F10" s="37"/>
      <c r="G10" s="37" t="s">
        <v>1114</v>
      </c>
      <c r="H10" s="37"/>
      <c r="I10" s="37"/>
      <c r="J10" s="38">
        <v>19134</v>
      </c>
      <c r="K10" s="37" t="s">
        <v>911</v>
      </c>
      <c r="L10" s="3"/>
      <c r="M10" s="3"/>
      <c r="N10" s="3"/>
    </row>
    <row r="11" spans="1:14">
      <c r="A11" s="39"/>
      <c r="B11" s="40">
        <v>33445</v>
      </c>
      <c r="C11" s="40">
        <v>53820</v>
      </c>
      <c r="D11" s="40">
        <v>2734</v>
      </c>
      <c r="E11" s="40">
        <v>8246</v>
      </c>
      <c r="F11" s="38"/>
      <c r="G11" s="40">
        <v>3197</v>
      </c>
      <c r="H11" s="40"/>
      <c r="I11" s="40"/>
      <c r="J11" s="38"/>
      <c r="K11" s="41"/>
      <c r="L11" s="3"/>
      <c r="M11" s="3"/>
      <c r="N11" s="3"/>
    </row>
    <row r="12" spans="1:14">
      <c r="A12" s="3"/>
      <c r="B12" s="9"/>
      <c r="C12" s="9"/>
      <c r="D12" s="9"/>
      <c r="E12" s="9"/>
      <c r="F12" s="9"/>
      <c r="G12" s="9"/>
      <c r="H12" s="9"/>
      <c r="I12" s="9"/>
      <c r="J12" s="9"/>
      <c r="K12" s="9"/>
      <c r="L12" s="3"/>
      <c r="M12" s="3"/>
      <c r="N12" s="3"/>
    </row>
    <row r="13" spans="1:14">
      <c r="A13" s="7" t="s">
        <v>7</v>
      </c>
      <c r="B13" s="8" t="s">
        <v>1115</v>
      </c>
      <c r="C13" s="8" t="s">
        <v>604</v>
      </c>
      <c r="D13" s="8" t="s">
        <v>1208</v>
      </c>
      <c r="E13" s="8" t="s">
        <v>604</v>
      </c>
      <c r="F13" s="8"/>
      <c r="G13" s="8" t="s">
        <v>1020</v>
      </c>
      <c r="H13" s="8"/>
      <c r="I13" s="10" t="s">
        <v>1116</v>
      </c>
      <c r="J13" s="9">
        <v>14929</v>
      </c>
      <c r="K13" s="8" t="s">
        <v>688</v>
      </c>
      <c r="L13" s="3"/>
      <c r="M13" s="3"/>
      <c r="N13" s="3"/>
    </row>
    <row r="14" spans="1:14">
      <c r="A14" s="3"/>
      <c r="B14" s="10">
        <v>31561</v>
      </c>
      <c r="C14" s="10">
        <v>41731</v>
      </c>
      <c r="D14" s="10">
        <v>3409</v>
      </c>
      <c r="E14" s="10">
        <v>6161</v>
      </c>
      <c r="F14" s="9"/>
      <c r="G14" s="10">
        <v>2158</v>
      </c>
      <c r="H14" s="10"/>
      <c r="I14" s="9">
        <v>1799</v>
      </c>
      <c r="J14" s="9"/>
      <c r="K14" s="11"/>
      <c r="L14" s="3"/>
      <c r="M14" s="3"/>
      <c r="N14" s="3"/>
    </row>
    <row r="15" spans="1:14">
      <c r="A15" s="3"/>
      <c r="B15" s="9"/>
      <c r="C15" s="9"/>
      <c r="D15" s="9"/>
      <c r="E15" s="9"/>
      <c r="F15" s="9"/>
      <c r="G15" s="9"/>
      <c r="H15" s="9"/>
      <c r="I15" s="9"/>
      <c r="J15" s="9"/>
      <c r="K15" s="9"/>
      <c r="L15" s="3"/>
      <c r="M15" s="3"/>
      <c r="N15" s="3"/>
    </row>
    <row r="16" spans="1:14">
      <c r="A16" s="36" t="s">
        <v>9</v>
      </c>
      <c r="B16" s="37" t="s">
        <v>1117</v>
      </c>
      <c r="C16" s="37" t="s">
        <v>520</v>
      </c>
      <c r="D16" s="37" t="s">
        <v>1209</v>
      </c>
      <c r="E16" s="37" t="s">
        <v>520</v>
      </c>
      <c r="F16" s="37"/>
      <c r="G16" s="37" t="s">
        <v>865</v>
      </c>
      <c r="H16" s="37"/>
      <c r="I16" s="37"/>
      <c r="J16" s="38">
        <v>16914</v>
      </c>
      <c r="K16" s="37" t="s">
        <v>521</v>
      </c>
      <c r="L16" s="3"/>
      <c r="M16" s="3"/>
      <c r="N16" s="3"/>
    </row>
    <row r="17" spans="1:14">
      <c r="A17" s="39"/>
      <c r="B17" s="40">
        <v>27307</v>
      </c>
      <c r="C17" s="40">
        <v>45772</v>
      </c>
      <c r="D17" s="40">
        <v>2656</v>
      </c>
      <c r="E17" s="40">
        <v>7771</v>
      </c>
      <c r="F17" s="38"/>
      <c r="G17" s="38"/>
      <c r="H17" s="38"/>
      <c r="I17" s="40"/>
      <c r="J17" s="38"/>
      <c r="K17" s="41"/>
      <c r="L17" s="3"/>
      <c r="M17" s="3"/>
      <c r="N17" s="3"/>
    </row>
    <row r="18" spans="1:14">
      <c r="A18" s="3"/>
      <c r="B18" s="9"/>
      <c r="C18" s="9"/>
      <c r="D18" s="9"/>
      <c r="E18" s="9"/>
      <c r="F18" s="9"/>
      <c r="G18" s="9"/>
      <c r="H18" s="9"/>
      <c r="I18" s="9"/>
      <c r="J18" s="9"/>
      <c r="K18" s="9"/>
      <c r="L18" s="3"/>
      <c r="M18" s="3"/>
      <c r="N18" s="3"/>
    </row>
    <row r="19" spans="1:14">
      <c r="A19" s="7" t="s">
        <v>11</v>
      </c>
      <c r="B19" s="10" t="s">
        <v>1023</v>
      </c>
      <c r="C19" s="10" t="s">
        <v>12</v>
      </c>
      <c r="D19" s="10"/>
      <c r="E19" s="10" t="s">
        <v>12</v>
      </c>
      <c r="F19" s="10" t="s">
        <v>1023</v>
      </c>
      <c r="G19" s="10" t="s">
        <v>1118</v>
      </c>
      <c r="H19" s="10"/>
      <c r="I19" s="10" t="s">
        <v>1239</v>
      </c>
      <c r="J19" s="10">
        <v>17070</v>
      </c>
      <c r="K19" s="10" t="s">
        <v>13</v>
      </c>
      <c r="L19" s="3"/>
      <c r="M19" s="3"/>
      <c r="N19" s="3"/>
    </row>
    <row r="20" spans="1:14">
      <c r="A20" s="3"/>
      <c r="B20" s="10">
        <v>41884</v>
      </c>
      <c r="C20" s="10">
        <v>56630</v>
      </c>
      <c r="D20" s="10"/>
      <c r="E20" s="10">
        <v>7301</v>
      </c>
      <c r="F20" s="10">
        <v>1361</v>
      </c>
      <c r="G20" s="10">
        <v>2077</v>
      </c>
      <c r="H20" s="10"/>
      <c r="I20" s="9">
        <v>809</v>
      </c>
      <c r="J20" s="9"/>
      <c r="K20" s="9"/>
      <c r="L20" s="3"/>
      <c r="M20" s="3"/>
      <c r="N20" s="3"/>
    </row>
    <row r="21" spans="1:14">
      <c r="A21" s="3"/>
      <c r="B21" s="9"/>
      <c r="C21" s="9"/>
      <c r="D21" s="9"/>
      <c r="E21" s="9"/>
      <c r="F21" s="9"/>
      <c r="G21" s="9"/>
      <c r="H21" s="9"/>
      <c r="I21" s="9"/>
      <c r="J21" s="9"/>
      <c r="K21" s="9"/>
      <c r="L21" s="3"/>
      <c r="M21" s="3"/>
      <c r="N21" s="3"/>
    </row>
    <row r="22" spans="1:14">
      <c r="A22" s="36" t="s">
        <v>15</v>
      </c>
      <c r="B22" s="40" t="s">
        <v>1119</v>
      </c>
      <c r="C22" s="40" t="s">
        <v>16</v>
      </c>
      <c r="D22" s="40" t="s">
        <v>1210</v>
      </c>
      <c r="E22" s="40" t="s">
        <v>16</v>
      </c>
      <c r="F22" s="40" t="s">
        <v>1119</v>
      </c>
      <c r="G22" s="40"/>
      <c r="H22" s="40"/>
      <c r="I22" s="40" t="s">
        <v>1238</v>
      </c>
      <c r="J22" s="40">
        <v>18665</v>
      </c>
      <c r="K22" s="40" t="s">
        <v>293</v>
      </c>
      <c r="L22" s="3"/>
      <c r="M22" s="3"/>
      <c r="N22" s="3"/>
    </row>
    <row r="23" spans="1:14">
      <c r="A23" s="39"/>
      <c r="B23" s="40">
        <v>39410</v>
      </c>
      <c r="C23" s="40">
        <v>48171</v>
      </c>
      <c r="D23" s="40">
        <v>1296</v>
      </c>
      <c r="E23" s="40">
        <v>6757</v>
      </c>
      <c r="F23" s="40">
        <v>811</v>
      </c>
      <c r="G23" s="38"/>
      <c r="H23" s="38"/>
      <c r="I23" s="40">
        <v>611</v>
      </c>
      <c r="J23" s="38"/>
      <c r="K23" s="38"/>
      <c r="L23" s="3"/>
      <c r="M23" s="3"/>
      <c r="N23" s="3"/>
    </row>
    <row r="24" spans="1:14">
      <c r="A24" s="3"/>
      <c r="B24" s="9"/>
      <c r="C24" s="9"/>
      <c r="D24" s="9"/>
      <c r="E24" s="9"/>
      <c r="F24" s="9"/>
      <c r="G24" s="9"/>
      <c r="H24" s="9"/>
      <c r="I24" s="11" t="s">
        <v>865</v>
      </c>
      <c r="J24" s="9"/>
      <c r="K24" s="9"/>
      <c r="L24" s="3"/>
      <c r="M24" s="3"/>
      <c r="N24" s="3"/>
    </row>
    <row r="25" spans="1:14">
      <c r="A25" s="7" t="s">
        <v>18</v>
      </c>
      <c r="B25" s="8" t="s">
        <v>1120</v>
      </c>
      <c r="C25" s="8" t="s">
        <v>1121</v>
      </c>
      <c r="D25" s="8"/>
      <c r="E25" s="8" t="s">
        <v>1121</v>
      </c>
      <c r="F25" s="8" t="s">
        <v>1120</v>
      </c>
      <c r="G25" s="8" t="s">
        <v>1122</v>
      </c>
      <c r="H25" s="8"/>
      <c r="I25" s="10" t="s">
        <v>1237</v>
      </c>
      <c r="J25" s="10">
        <v>16820</v>
      </c>
      <c r="K25" s="8" t="s">
        <v>1123</v>
      </c>
      <c r="L25" s="3"/>
      <c r="M25" s="3"/>
      <c r="N25" s="3"/>
    </row>
    <row r="26" spans="1:14">
      <c r="A26" s="3"/>
      <c r="B26" s="10">
        <v>40914</v>
      </c>
      <c r="C26" s="10">
        <v>55871</v>
      </c>
      <c r="D26" s="10"/>
      <c r="E26" s="10">
        <v>6957</v>
      </c>
      <c r="F26" s="10">
        <v>1206</v>
      </c>
      <c r="G26" s="10">
        <v>1862</v>
      </c>
      <c r="H26" s="10"/>
      <c r="I26" s="10">
        <v>819</v>
      </c>
      <c r="J26" s="9"/>
      <c r="K26" s="11"/>
      <c r="L26" s="3"/>
      <c r="M26" s="3"/>
      <c r="N26" s="3"/>
    </row>
    <row r="27" spans="1:14">
      <c r="A27" s="3"/>
      <c r="B27" s="9"/>
      <c r="C27" s="9"/>
      <c r="D27" s="9"/>
      <c r="E27" s="9"/>
      <c r="F27" s="9"/>
      <c r="G27" s="9"/>
      <c r="H27" s="9"/>
      <c r="I27" s="9"/>
      <c r="J27" s="9"/>
      <c r="K27" s="9"/>
      <c r="L27" s="3"/>
      <c r="M27" s="3"/>
      <c r="N27" s="3"/>
    </row>
    <row r="28" spans="1:14" ht="17.25">
      <c r="A28" s="3" t="s">
        <v>1211</v>
      </c>
      <c r="B28" s="10" t="s">
        <v>1124</v>
      </c>
      <c r="C28" s="10" t="s">
        <v>1125</v>
      </c>
      <c r="D28" s="10" t="s">
        <v>1212</v>
      </c>
      <c r="E28" s="10" t="s">
        <v>1125</v>
      </c>
      <c r="F28" s="10" t="s">
        <v>1126</v>
      </c>
      <c r="G28" s="10" t="s">
        <v>1127</v>
      </c>
      <c r="H28" s="10"/>
      <c r="I28" s="10" t="s">
        <v>1236</v>
      </c>
      <c r="J28" s="9">
        <v>5110</v>
      </c>
      <c r="K28" s="10" t="s">
        <v>693</v>
      </c>
      <c r="L28" s="3"/>
      <c r="M28" s="3"/>
      <c r="N28" s="3"/>
    </row>
    <row r="29" spans="1:14">
      <c r="A29" s="3"/>
      <c r="B29" s="9">
        <v>29531</v>
      </c>
      <c r="C29" s="9">
        <v>33983</v>
      </c>
      <c r="D29" s="9">
        <v>766</v>
      </c>
      <c r="E29" s="9">
        <v>4434</v>
      </c>
      <c r="F29" s="9">
        <v>754</v>
      </c>
      <c r="G29" s="9">
        <v>1192</v>
      </c>
      <c r="H29" s="9"/>
      <c r="I29" s="9">
        <v>493</v>
      </c>
      <c r="J29" s="9"/>
      <c r="K29" s="9"/>
      <c r="L29" s="3"/>
      <c r="M29" s="3"/>
      <c r="N29" s="3"/>
    </row>
    <row r="30" spans="1:14">
      <c r="A30" s="3"/>
      <c r="B30" s="9"/>
      <c r="C30" s="9"/>
      <c r="D30" s="9"/>
      <c r="E30" s="9"/>
      <c r="F30" s="9"/>
      <c r="G30" s="9"/>
      <c r="H30" s="9"/>
      <c r="I30" s="9"/>
      <c r="J30" s="9"/>
      <c r="K30" s="9"/>
      <c r="L30" s="3"/>
      <c r="M30" s="3"/>
      <c r="N30" s="3"/>
    </row>
    <row r="31" spans="1:14">
      <c r="A31" s="36" t="s">
        <v>21</v>
      </c>
      <c r="B31" s="37" t="s">
        <v>1128</v>
      </c>
      <c r="C31" s="37" t="s">
        <v>1129</v>
      </c>
      <c r="D31" s="37"/>
      <c r="E31" s="37" t="s">
        <v>1129</v>
      </c>
      <c r="F31" s="37" t="s">
        <v>1028</v>
      </c>
      <c r="G31" s="37"/>
      <c r="H31" s="37"/>
      <c r="I31" s="37" t="s">
        <v>1130</v>
      </c>
      <c r="J31" s="40">
        <v>16808</v>
      </c>
      <c r="K31" s="37" t="s">
        <v>1131</v>
      </c>
      <c r="L31" s="3"/>
      <c r="M31" s="3"/>
      <c r="N31" s="3"/>
    </row>
    <row r="32" spans="1:14">
      <c r="A32" s="39"/>
      <c r="B32" s="40">
        <v>34037</v>
      </c>
      <c r="C32" s="40">
        <v>59328</v>
      </c>
      <c r="D32" s="40"/>
      <c r="E32" s="40">
        <v>7663</v>
      </c>
      <c r="F32" s="40">
        <v>883</v>
      </c>
      <c r="G32" s="38"/>
      <c r="H32" s="38"/>
      <c r="I32" s="40">
        <v>952</v>
      </c>
      <c r="J32" s="38"/>
      <c r="K32" s="41"/>
      <c r="L32" s="3"/>
      <c r="M32" s="3"/>
      <c r="N32" s="3"/>
    </row>
    <row r="33" spans="1:14">
      <c r="A33" s="3"/>
      <c r="B33" s="9"/>
      <c r="C33" s="9"/>
      <c r="D33" s="9"/>
      <c r="E33" s="9"/>
      <c r="F33" s="9"/>
      <c r="G33" s="9"/>
      <c r="H33" s="9"/>
      <c r="I33" s="9"/>
      <c r="J33" s="9"/>
      <c r="K33" s="9"/>
      <c r="L33" s="3"/>
      <c r="M33" s="3"/>
      <c r="N33" s="3"/>
    </row>
    <row r="34" spans="1:14">
      <c r="A34" s="7" t="s">
        <v>23</v>
      </c>
      <c r="B34" s="8" t="s">
        <v>1132</v>
      </c>
      <c r="C34" s="8" t="s">
        <v>378</v>
      </c>
      <c r="D34" s="8"/>
      <c r="E34" s="8" t="s">
        <v>378</v>
      </c>
      <c r="F34" s="8" t="s">
        <v>1133</v>
      </c>
      <c r="G34" s="8" t="s">
        <v>1134</v>
      </c>
      <c r="H34" s="8"/>
      <c r="I34" s="8" t="s">
        <v>1235</v>
      </c>
      <c r="J34" s="10">
        <v>15010</v>
      </c>
      <c r="K34" s="8" t="s">
        <v>381</v>
      </c>
      <c r="L34" s="3"/>
      <c r="M34" s="3"/>
      <c r="N34" s="3"/>
    </row>
    <row r="35" spans="1:14">
      <c r="A35" s="3"/>
      <c r="B35" s="10">
        <v>37184</v>
      </c>
      <c r="C35" s="10">
        <v>65297</v>
      </c>
      <c r="D35" s="10"/>
      <c r="E35" s="10">
        <v>7330</v>
      </c>
      <c r="F35" s="10">
        <v>663</v>
      </c>
      <c r="G35" s="10">
        <v>1620</v>
      </c>
      <c r="H35" s="10"/>
      <c r="I35" s="10">
        <v>1119</v>
      </c>
      <c r="J35" s="9"/>
      <c r="K35" s="11"/>
      <c r="L35" s="3"/>
      <c r="M35" s="3"/>
      <c r="N35" s="3"/>
    </row>
    <row r="36" spans="1:14">
      <c r="A36" s="3"/>
      <c r="B36" s="9"/>
      <c r="C36" s="9"/>
      <c r="D36" s="9"/>
      <c r="E36" s="9"/>
      <c r="F36" s="9"/>
      <c r="G36" s="9"/>
      <c r="H36" s="9"/>
      <c r="I36" s="9"/>
      <c r="J36" s="9"/>
      <c r="K36" s="9"/>
      <c r="L36" s="3"/>
      <c r="M36" s="3"/>
      <c r="N36" s="3"/>
    </row>
    <row r="37" spans="1:14">
      <c r="A37" s="36" t="s">
        <v>24</v>
      </c>
      <c r="B37" s="37" t="s">
        <v>1031</v>
      </c>
      <c r="C37" s="37" t="s">
        <v>1032</v>
      </c>
      <c r="D37" s="37" t="s">
        <v>1034</v>
      </c>
      <c r="E37" s="37" t="s">
        <v>1032</v>
      </c>
      <c r="F37" s="37" t="s">
        <v>1033</v>
      </c>
      <c r="G37" s="37"/>
      <c r="H37" s="37"/>
      <c r="I37" s="37" t="s">
        <v>1234</v>
      </c>
      <c r="J37" s="40">
        <v>21357</v>
      </c>
      <c r="K37" s="37" t="s">
        <v>1035</v>
      </c>
      <c r="L37" s="3"/>
      <c r="M37" s="3"/>
      <c r="N37" s="3"/>
    </row>
    <row r="38" spans="1:14">
      <c r="A38" s="39"/>
      <c r="B38" s="40">
        <v>60532</v>
      </c>
      <c r="C38" s="40">
        <v>5202</v>
      </c>
      <c r="D38" s="40">
        <v>593</v>
      </c>
      <c r="E38" s="40">
        <v>913</v>
      </c>
      <c r="F38" s="40">
        <v>2072</v>
      </c>
      <c r="G38" s="38"/>
      <c r="H38" s="38"/>
      <c r="I38" s="40">
        <v>226</v>
      </c>
      <c r="J38" s="38"/>
      <c r="K38" s="41"/>
      <c r="L38" s="3"/>
      <c r="M38" s="3"/>
      <c r="N38" s="3"/>
    </row>
    <row r="39" spans="1:14">
      <c r="A39" s="3"/>
      <c r="B39" s="11"/>
      <c r="C39" s="11"/>
      <c r="D39" s="11"/>
      <c r="E39" s="11"/>
      <c r="F39" s="11"/>
      <c r="G39" s="11"/>
      <c r="H39" s="11"/>
      <c r="I39" s="11"/>
      <c r="J39" s="9"/>
      <c r="K39" s="9"/>
      <c r="L39" s="3"/>
      <c r="M39" s="3"/>
      <c r="N39" s="3"/>
    </row>
    <row r="40" spans="1:14">
      <c r="A40" s="3" t="s">
        <v>26</v>
      </c>
      <c r="B40" s="9"/>
      <c r="C40" s="9" t="s">
        <v>1135</v>
      </c>
      <c r="D40" s="9"/>
      <c r="E40" s="9" t="s">
        <v>1135</v>
      </c>
      <c r="F40" s="9"/>
      <c r="G40" s="9"/>
      <c r="H40" s="9"/>
      <c r="I40" s="9"/>
      <c r="J40" s="9">
        <v>51529</v>
      </c>
      <c r="K40" s="8" t="s">
        <v>614</v>
      </c>
      <c r="L40" s="3"/>
      <c r="M40" s="3"/>
      <c r="N40" s="3"/>
    </row>
    <row r="41" spans="1:14">
      <c r="A41" s="7"/>
      <c r="B41" s="11"/>
      <c r="C41" s="10">
        <v>35013</v>
      </c>
      <c r="D41" s="10"/>
      <c r="E41" s="10">
        <v>6767</v>
      </c>
      <c r="F41" s="11"/>
      <c r="G41" s="11"/>
      <c r="H41" s="11"/>
      <c r="I41" s="11"/>
      <c r="J41" s="9"/>
      <c r="K41" s="11"/>
      <c r="L41" s="3"/>
      <c r="M41" s="3"/>
      <c r="N41" s="3"/>
    </row>
    <row r="42" spans="1:14">
      <c r="A42" s="3"/>
      <c r="B42" s="11"/>
      <c r="C42" s="11"/>
      <c r="D42" s="11"/>
      <c r="E42" s="11"/>
      <c r="F42" s="11"/>
      <c r="G42" s="11"/>
      <c r="H42" s="11"/>
      <c r="I42" s="11"/>
      <c r="J42" s="9"/>
      <c r="K42" s="9"/>
      <c r="L42" s="3"/>
      <c r="M42" s="3"/>
      <c r="N42" s="3"/>
    </row>
    <row r="43" spans="1:14">
      <c r="A43" s="39" t="s">
        <v>28</v>
      </c>
      <c r="B43" s="40" t="s">
        <v>925</v>
      </c>
      <c r="C43" s="40" t="s">
        <v>1136</v>
      </c>
      <c r="D43" s="40"/>
      <c r="E43" s="40" t="s">
        <v>1136</v>
      </c>
      <c r="F43" s="40" t="s">
        <v>926</v>
      </c>
      <c r="G43" s="40" t="s">
        <v>1137</v>
      </c>
      <c r="H43" s="40"/>
      <c r="I43" s="40" t="s">
        <v>1233</v>
      </c>
      <c r="J43" s="38">
        <v>22771</v>
      </c>
      <c r="K43" s="37" t="s">
        <v>768</v>
      </c>
      <c r="L43" s="3"/>
      <c r="M43" s="3"/>
      <c r="N43" s="3"/>
    </row>
    <row r="44" spans="1:14">
      <c r="A44" s="36"/>
      <c r="B44" s="40">
        <v>46720</v>
      </c>
      <c r="C44" s="38">
        <v>2766</v>
      </c>
      <c r="D44" s="38"/>
      <c r="E44" s="40">
        <v>479</v>
      </c>
      <c r="F44" s="38">
        <v>1238</v>
      </c>
      <c r="G44" s="40">
        <v>714</v>
      </c>
      <c r="H44" s="40"/>
      <c r="I44" s="40">
        <v>230</v>
      </c>
      <c r="J44" s="38"/>
      <c r="K44" s="41"/>
      <c r="L44" s="3"/>
      <c r="M44" s="3"/>
      <c r="N44" s="3"/>
    </row>
    <row r="45" spans="1:14">
      <c r="A45" s="3"/>
      <c r="B45" s="11"/>
      <c r="C45" s="11"/>
      <c r="D45" s="11"/>
      <c r="E45" s="11"/>
      <c r="F45" s="11"/>
      <c r="G45" s="11"/>
      <c r="H45" s="11"/>
      <c r="I45" s="11"/>
      <c r="J45" s="9"/>
      <c r="K45" s="9"/>
      <c r="L45" s="3"/>
      <c r="M45" s="3"/>
      <c r="N45" s="3"/>
    </row>
    <row r="46" spans="1:14">
      <c r="A46" s="3" t="s">
        <v>29</v>
      </c>
      <c r="B46" s="10" t="s">
        <v>1138</v>
      </c>
      <c r="C46" s="10" t="s">
        <v>1139</v>
      </c>
      <c r="D46" s="10" t="s">
        <v>1213</v>
      </c>
      <c r="E46" s="10" t="s">
        <v>1139</v>
      </c>
      <c r="F46" s="10"/>
      <c r="G46" s="10"/>
      <c r="H46" s="10"/>
      <c r="I46" s="10" t="s">
        <v>1232</v>
      </c>
      <c r="J46" s="9">
        <v>20136</v>
      </c>
      <c r="K46" s="8" t="s">
        <v>1140</v>
      </c>
      <c r="L46" s="3"/>
      <c r="M46" s="3"/>
      <c r="N46" s="3"/>
    </row>
    <row r="47" spans="1:14">
      <c r="A47" s="7"/>
      <c r="B47" s="10">
        <v>52069</v>
      </c>
      <c r="C47" s="9">
        <v>12952</v>
      </c>
      <c r="D47" s="9">
        <v>1083</v>
      </c>
      <c r="E47" s="10">
        <v>1600</v>
      </c>
      <c r="F47" s="9"/>
      <c r="G47" s="9"/>
      <c r="H47" s="9"/>
      <c r="I47" s="10">
        <v>324</v>
      </c>
      <c r="J47" s="9"/>
      <c r="K47" s="11"/>
      <c r="L47" s="3"/>
      <c r="M47" s="3"/>
      <c r="N47" s="3"/>
    </row>
    <row r="48" spans="1:14">
      <c r="A48" s="7"/>
      <c r="B48" s="11"/>
      <c r="C48" s="11"/>
      <c r="D48" s="11"/>
      <c r="E48" s="11"/>
      <c r="F48" s="11"/>
      <c r="G48" s="11"/>
      <c r="H48" s="11"/>
      <c r="I48" s="11"/>
      <c r="J48" s="9"/>
      <c r="K48" s="11"/>
      <c r="L48" s="3"/>
      <c r="M48" s="3"/>
      <c r="N48" s="3"/>
    </row>
    <row r="49" spans="1:14">
      <c r="A49" s="39" t="s">
        <v>32</v>
      </c>
      <c r="B49" s="41" t="s">
        <v>930</v>
      </c>
      <c r="C49" s="41"/>
      <c r="D49" s="41"/>
      <c r="E49" s="41" t="s">
        <v>1141</v>
      </c>
      <c r="F49" s="38"/>
      <c r="G49" s="41"/>
      <c r="H49" s="41"/>
      <c r="I49" s="41"/>
      <c r="J49" s="38">
        <v>30746</v>
      </c>
      <c r="K49" s="40" t="s">
        <v>617</v>
      </c>
      <c r="L49" s="3"/>
      <c r="M49" s="3"/>
      <c r="N49" s="3"/>
    </row>
    <row r="50" spans="1:14">
      <c r="A50" s="39"/>
      <c r="B50" s="40">
        <v>43942</v>
      </c>
      <c r="C50" s="38"/>
      <c r="D50" s="38"/>
      <c r="E50" s="40">
        <v>3716</v>
      </c>
      <c r="F50" s="38"/>
      <c r="G50" s="38"/>
      <c r="H50" s="38"/>
      <c r="I50" s="38"/>
      <c r="J50" s="38"/>
      <c r="K50" s="41"/>
      <c r="L50" s="3"/>
      <c r="M50" s="3"/>
      <c r="N50" s="3"/>
    </row>
    <row r="51" spans="1:14">
      <c r="A51" s="7"/>
      <c r="B51" s="11"/>
      <c r="C51" s="11"/>
      <c r="D51" s="11"/>
      <c r="E51" s="11"/>
      <c r="F51" s="11"/>
      <c r="G51" s="11"/>
      <c r="H51" s="11"/>
      <c r="I51" s="11"/>
      <c r="J51" s="9"/>
      <c r="K51" s="11"/>
      <c r="L51" s="3"/>
      <c r="M51" s="3"/>
      <c r="N51" s="3"/>
    </row>
    <row r="52" spans="1:14">
      <c r="A52" s="3" t="s">
        <v>33</v>
      </c>
      <c r="B52" s="8"/>
      <c r="C52" s="8" t="s">
        <v>620</v>
      </c>
      <c r="D52" s="8" t="s">
        <v>621</v>
      </c>
      <c r="E52" s="8" t="s">
        <v>620</v>
      </c>
      <c r="F52" s="8"/>
      <c r="G52" s="8"/>
      <c r="H52" s="8"/>
      <c r="I52" s="10" t="s">
        <v>1142</v>
      </c>
      <c r="J52" s="9">
        <v>39881</v>
      </c>
      <c r="K52" s="10" t="s">
        <v>701</v>
      </c>
      <c r="L52" s="3"/>
      <c r="M52" s="3"/>
      <c r="N52" s="3"/>
    </row>
    <row r="53" spans="1:14">
      <c r="A53" s="3"/>
      <c r="B53" s="9"/>
      <c r="C53" s="9">
        <v>24742</v>
      </c>
      <c r="D53" s="9">
        <v>2683</v>
      </c>
      <c r="E53" s="10">
        <v>4792</v>
      </c>
      <c r="F53" s="9"/>
      <c r="G53" s="9"/>
      <c r="H53" s="9"/>
      <c r="I53" s="10">
        <v>1828</v>
      </c>
      <c r="J53" s="9"/>
      <c r="K53" s="11"/>
      <c r="L53" s="3"/>
      <c r="M53" s="3"/>
      <c r="N53" s="3"/>
    </row>
    <row r="54" spans="1:14">
      <c r="A54" s="3"/>
      <c r="B54" s="9"/>
      <c r="C54" s="9"/>
      <c r="D54" s="9"/>
      <c r="E54" s="9"/>
      <c r="F54" s="9"/>
      <c r="G54" s="9"/>
      <c r="H54" s="9"/>
      <c r="I54" s="9"/>
      <c r="J54" s="9"/>
      <c r="K54" s="11"/>
      <c r="L54" s="3"/>
      <c r="M54" s="3"/>
      <c r="N54" s="3"/>
    </row>
    <row r="55" spans="1:14">
      <c r="A55" s="36" t="s">
        <v>35</v>
      </c>
      <c r="B55" s="37" t="s">
        <v>36</v>
      </c>
      <c r="C55" s="37"/>
      <c r="D55" s="37" t="s">
        <v>120</v>
      </c>
      <c r="E55" s="37"/>
      <c r="F55" s="37" t="s">
        <v>36</v>
      </c>
      <c r="G55" s="37"/>
      <c r="H55" s="37"/>
      <c r="I55" s="37"/>
      <c r="J55" s="38">
        <v>20515</v>
      </c>
      <c r="K55" s="37" t="s">
        <v>1143</v>
      </c>
      <c r="L55" s="3"/>
      <c r="M55" s="3"/>
      <c r="N55" s="3"/>
    </row>
    <row r="56" spans="1:14">
      <c r="A56" s="39"/>
      <c r="B56" s="40">
        <v>31620</v>
      </c>
      <c r="C56" s="38"/>
      <c r="D56" s="38">
        <v>1132</v>
      </c>
      <c r="E56" s="38"/>
      <c r="F56" s="38">
        <v>993</v>
      </c>
      <c r="G56" s="38"/>
      <c r="H56" s="38"/>
      <c r="I56" s="40"/>
      <c r="J56" s="38"/>
      <c r="K56" s="38"/>
      <c r="L56" s="3"/>
      <c r="M56" s="3"/>
      <c r="N56" s="3"/>
    </row>
    <row r="57" spans="1:14">
      <c r="A57" s="3"/>
      <c r="B57" s="9"/>
      <c r="C57" s="9"/>
      <c r="D57" s="9"/>
      <c r="E57" s="9"/>
      <c r="F57" s="9"/>
      <c r="G57" s="9"/>
      <c r="H57" s="9"/>
      <c r="I57" s="9"/>
      <c r="J57" s="9"/>
      <c r="K57" s="11"/>
      <c r="L57" s="3"/>
      <c r="M57" s="3"/>
      <c r="N57" s="3"/>
    </row>
    <row r="58" spans="1:14">
      <c r="A58" s="7" t="s">
        <v>38</v>
      </c>
      <c r="B58" s="8" t="s">
        <v>846</v>
      </c>
      <c r="C58" s="8" t="s">
        <v>1144</v>
      </c>
      <c r="D58" s="8"/>
      <c r="E58" s="8" t="s">
        <v>1145</v>
      </c>
      <c r="F58" s="8" t="s">
        <v>846</v>
      </c>
      <c r="G58" s="8"/>
      <c r="H58" s="8"/>
      <c r="I58" s="8"/>
      <c r="J58" s="9">
        <v>19692</v>
      </c>
      <c r="K58" s="8" t="s">
        <v>933</v>
      </c>
      <c r="L58" s="3"/>
      <c r="M58" s="3"/>
      <c r="N58" s="3"/>
    </row>
    <row r="59" spans="1:14">
      <c r="A59" s="3"/>
      <c r="B59" s="10">
        <v>32179</v>
      </c>
      <c r="C59" s="9">
        <v>2039</v>
      </c>
      <c r="D59" s="9"/>
      <c r="E59" s="10">
        <v>474</v>
      </c>
      <c r="F59" s="9">
        <v>916</v>
      </c>
      <c r="G59" s="11"/>
      <c r="H59" s="11"/>
      <c r="I59" s="11"/>
      <c r="J59" s="9"/>
      <c r="K59" s="9"/>
      <c r="L59" s="3"/>
      <c r="M59" s="3"/>
      <c r="N59" s="3"/>
    </row>
    <row r="60" spans="1:14">
      <c r="A60" s="3"/>
      <c r="B60" s="9"/>
      <c r="C60" s="9"/>
      <c r="D60" s="9"/>
      <c r="E60" s="9"/>
      <c r="F60" s="9"/>
      <c r="G60" s="9"/>
      <c r="H60" s="9"/>
      <c r="I60" s="9"/>
      <c r="J60" s="9"/>
      <c r="K60" s="11"/>
      <c r="L60" s="3"/>
      <c r="M60" s="3"/>
      <c r="N60" s="3"/>
    </row>
    <row r="61" spans="1:14">
      <c r="A61" s="36" t="s">
        <v>41</v>
      </c>
      <c r="B61" s="37" t="s">
        <v>534</v>
      </c>
      <c r="C61" s="37" t="s">
        <v>1043</v>
      </c>
      <c r="D61" s="37" t="s">
        <v>1043</v>
      </c>
      <c r="E61" s="37"/>
      <c r="F61" s="37" t="s">
        <v>1044</v>
      </c>
      <c r="G61" s="37"/>
      <c r="H61" s="37"/>
      <c r="I61" s="37" t="s">
        <v>1231</v>
      </c>
      <c r="J61" s="38">
        <v>23286</v>
      </c>
      <c r="K61" s="37" t="s">
        <v>42</v>
      </c>
      <c r="L61" s="3"/>
      <c r="M61" s="3"/>
      <c r="N61" s="3"/>
    </row>
    <row r="62" spans="1:14">
      <c r="A62" s="39"/>
      <c r="B62" s="40">
        <v>56313</v>
      </c>
      <c r="C62" s="40">
        <v>2491</v>
      </c>
      <c r="D62" s="40">
        <v>487</v>
      </c>
      <c r="E62" s="38"/>
      <c r="F62" s="40">
        <v>1153</v>
      </c>
      <c r="G62" s="38"/>
      <c r="H62" s="38"/>
      <c r="I62" s="40">
        <v>216</v>
      </c>
      <c r="J62" s="40"/>
      <c r="K62" s="38"/>
      <c r="L62" s="3"/>
      <c r="M62" s="3"/>
      <c r="N62" s="3"/>
    </row>
    <row r="63" spans="1:14">
      <c r="A63" s="3"/>
      <c r="B63" s="11"/>
      <c r="C63" s="11"/>
      <c r="D63" s="11"/>
      <c r="E63" s="11"/>
      <c r="F63" s="11"/>
      <c r="G63" s="11"/>
      <c r="H63" s="11"/>
      <c r="I63" s="11"/>
      <c r="J63" s="9"/>
      <c r="K63" s="9"/>
      <c r="L63" s="3"/>
      <c r="M63" s="3"/>
      <c r="N63" s="3"/>
    </row>
    <row r="64" spans="1:14">
      <c r="A64" s="3" t="s">
        <v>45</v>
      </c>
      <c r="B64" s="10" t="s">
        <v>385</v>
      </c>
      <c r="C64" s="10"/>
      <c r="D64" s="10"/>
      <c r="E64" s="10" t="s">
        <v>1146</v>
      </c>
      <c r="F64" s="10" t="s">
        <v>1147</v>
      </c>
      <c r="G64" s="10" t="s">
        <v>1148</v>
      </c>
      <c r="H64" s="10"/>
      <c r="I64" s="10"/>
      <c r="J64" s="9">
        <v>24666</v>
      </c>
      <c r="K64" s="8" t="s">
        <v>1046</v>
      </c>
      <c r="L64" s="3"/>
      <c r="M64" s="3"/>
      <c r="N64" s="3"/>
    </row>
    <row r="65" spans="1:14">
      <c r="A65" s="7"/>
      <c r="B65" s="10">
        <v>44182</v>
      </c>
      <c r="C65" s="9"/>
      <c r="D65" s="9"/>
      <c r="E65" s="10">
        <v>785</v>
      </c>
      <c r="F65" s="10">
        <v>1958</v>
      </c>
      <c r="G65" s="9">
        <v>584</v>
      </c>
      <c r="H65" s="9"/>
      <c r="I65" s="11"/>
      <c r="J65" s="9"/>
      <c r="K65" s="11"/>
      <c r="L65" s="3"/>
      <c r="M65" s="3"/>
      <c r="N65" s="3"/>
    </row>
    <row r="66" spans="1:14">
      <c r="A66" s="3"/>
      <c r="B66" s="11"/>
      <c r="C66" s="11"/>
      <c r="D66" s="11"/>
      <c r="E66" s="11"/>
      <c r="F66" s="11"/>
      <c r="G66" s="11"/>
      <c r="H66" s="11"/>
      <c r="I66" s="11"/>
      <c r="J66" s="9"/>
      <c r="K66" s="9"/>
      <c r="L66" s="3"/>
      <c r="M66" s="3"/>
      <c r="N66" s="3"/>
    </row>
    <row r="67" spans="1:14">
      <c r="A67" s="39" t="s">
        <v>47</v>
      </c>
      <c r="B67" s="40" t="s">
        <v>935</v>
      </c>
      <c r="C67" s="40" t="s">
        <v>1149</v>
      </c>
      <c r="D67" s="40"/>
      <c r="E67" s="40" t="s">
        <v>1150</v>
      </c>
      <c r="F67" s="40"/>
      <c r="G67" s="40"/>
      <c r="H67" s="40"/>
      <c r="I67" s="40" t="s">
        <v>1230</v>
      </c>
      <c r="J67" s="38">
        <v>18877</v>
      </c>
      <c r="K67" s="37" t="s">
        <v>939</v>
      </c>
      <c r="L67" s="3"/>
      <c r="M67" s="3"/>
      <c r="N67" s="3"/>
    </row>
    <row r="68" spans="1:14">
      <c r="A68" s="36"/>
      <c r="B68" s="40">
        <v>44388</v>
      </c>
      <c r="C68" s="40">
        <v>2744</v>
      </c>
      <c r="D68" s="40"/>
      <c r="E68" s="40">
        <v>665</v>
      </c>
      <c r="F68" s="38"/>
      <c r="G68" s="38"/>
      <c r="H68" s="38"/>
      <c r="I68" s="40">
        <v>316</v>
      </c>
      <c r="J68" s="38"/>
      <c r="K68" s="41"/>
      <c r="L68" s="3"/>
      <c r="M68" s="3"/>
      <c r="N68" s="3"/>
    </row>
    <row r="69" spans="1:14">
      <c r="A69" s="3"/>
      <c r="B69" s="11"/>
      <c r="C69" s="11"/>
      <c r="D69" s="11"/>
      <c r="E69" s="11"/>
      <c r="F69" s="11"/>
      <c r="G69" s="11"/>
      <c r="H69" s="11"/>
      <c r="I69" s="11"/>
      <c r="J69" s="9"/>
      <c r="K69" s="9"/>
      <c r="L69" s="3"/>
      <c r="M69" s="3"/>
      <c r="N69" s="3"/>
    </row>
    <row r="70" spans="1:14">
      <c r="A70" s="3" t="s">
        <v>49</v>
      </c>
      <c r="B70" s="10" t="s">
        <v>941</v>
      </c>
      <c r="C70" s="10" t="s">
        <v>1151</v>
      </c>
      <c r="D70" s="10" t="s">
        <v>1214</v>
      </c>
      <c r="E70" s="10" t="s">
        <v>1151</v>
      </c>
      <c r="F70" s="10" t="s">
        <v>941</v>
      </c>
      <c r="G70" s="10"/>
      <c r="H70" s="10"/>
      <c r="I70" s="10" t="s">
        <v>1229</v>
      </c>
      <c r="J70" s="9">
        <v>21566</v>
      </c>
      <c r="K70" s="8" t="s">
        <v>545</v>
      </c>
      <c r="L70" s="3"/>
      <c r="M70" s="3"/>
      <c r="N70" s="3"/>
    </row>
    <row r="71" spans="1:14">
      <c r="A71" s="7"/>
      <c r="B71" s="10">
        <v>44233</v>
      </c>
      <c r="C71" s="10">
        <v>13601</v>
      </c>
      <c r="D71" s="10">
        <v>758</v>
      </c>
      <c r="E71" s="10">
        <v>2430</v>
      </c>
      <c r="F71" s="10">
        <v>1430</v>
      </c>
      <c r="G71" s="9"/>
      <c r="H71" s="9"/>
      <c r="I71" s="10">
        <v>286</v>
      </c>
      <c r="J71" s="9"/>
      <c r="K71" s="11"/>
      <c r="L71" s="3"/>
      <c r="M71" s="3"/>
      <c r="N71" s="3"/>
    </row>
    <row r="72" spans="1:14">
      <c r="A72" s="7"/>
      <c r="B72" s="11"/>
      <c r="C72" s="11"/>
      <c r="D72" s="11"/>
      <c r="E72" s="11"/>
      <c r="F72" s="11"/>
      <c r="G72" s="11"/>
      <c r="H72" s="11"/>
      <c r="I72" s="11"/>
      <c r="J72" s="9"/>
      <c r="K72" s="11"/>
      <c r="L72" s="3"/>
      <c r="M72" s="3"/>
      <c r="N72" s="3"/>
    </row>
    <row r="73" spans="1:14">
      <c r="A73" s="39" t="s">
        <v>52</v>
      </c>
      <c r="B73" s="37" t="s">
        <v>943</v>
      </c>
      <c r="C73" s="37" t="s">
        <v>1152</v>
      </c>
      <c r="D73" s="37" t="s">
        <v>852</v>
      </c>
      <c r="E73" s="37" t="s">
        <v>1152</v>
      </c>
      <c r="F73" s="37" t="s">
        <v>943</v>
      </c>
      <c r="G73" s="37"/>
      <c r="H73" s="37"/>
      <c r="I73" s="40" t="s">
        <v>1153</v>
      </c>
      <c r="J73" s="38">
        <v>20927</v>
      </c>
      <c r="K73" s="40" t="s">
        <v>854</v>
      </c>
      <c r="L73" s="3"/>
      <c r="M73" s="3"/>
      <c r="N73" s="3"/>
    </row>
    <row r="74" spans="1:14">
      <c r="A74" s="39"/>
      <c r="B74" s="40">
        <v>35150</v>
      </c>
      <c r="C74" s="40">
        <v>8961</v>
      </c>
      <c r="D74" s="40">
        <v>897</v>
      </c>
      <c r="E74" s="40">
        <v>1413</v>
      </c>
      <c r="F74" s="40">
        <v>969</v>
      </c>
      <c r="G74" s="38"/>
      <c r="H74" s="38"/>
      <c r="I74" s="38">
        <v>284</v>
      </c>
      <c r="J74" s="38"/>
      <c r="K74" s="41"/>
      <c r="L74" s="3"/>
      <c r="M74" s="3"/>
      <c r="N74" s="3"/>
    </row>
    <row r="75" spans="1:14">
      <c r="A75" s="3"/>
      <c r="B75" s="9"/>
      <c r="C75" s="9"/>
      <c r="D75" s="9"/>
      <c r="E75" s="9"/>
      <c r="F75" s="9"/>
      <c r="G75" s="9"/>
      <c r="H75" s="9"/>
      <c r="I75" s="9"/>
      <c r="J75" s="9"/>
      <c r="K75" s="11"/>
      <c r="L75" s="3"/>
      <c r="M75" s="3"/>
      <c r="N75" s="3"/>
    </row>
    <row r="76" spans="1:14">
      <c r="A76" s="7" t="s">
        <v>54</v>
      </c>
      <c r="B76" s="8" t="s">
        <v>946</v>
      </c>
      <c r="C76" s="8" t="s">
        <v>1154</v>
      </c>
      <c r="D76" s="8" t="s">
        <v>851</v>
      </c>
      <c r="E76" s="8" t="s">
        <v>1155</v>
      </c>
      <c r="F76" s="8"/>
      <c r="G76" s="8"/>
      <c r="H76" s="8"/>
      <c r="I76" s="8"/>
      <c r="J76" s="9">
        <v>15696</v>
      </c>
      <c r="K76" s="8" t="s">
        <v>948</v>
      </c>
      <c r="L76" s="3"/>
      <c r="M76" s="3"/>
      <c r="N76" s="3"/>
    </row>
    <row r="77" spans="1:14">
      <c r="A77" s="3"/>
      <c r="B77" s="10">
        <v>31079</v>
      </c>
      <c r="C77" s="10">
        <v>20690</v>
      </c>
      <c r="D77" s="10">
        <v>1817</v>
      </c>
      <c r="E77" s="10">
        <v>11961</v>
      </c>
      <c r="F77" s="9"/>
      <c r="G77" s="9"/>
      <c r="H77" s="9"/>
      <c r="I77" s="9"/>
      <c r="J77" s="9"/>
      <c r="K77" s="9"/>
      <c r="L77" s="3"/>
      <c r="M77" s="3"/>
      <c r="N77" s="3"/>
    </row>
    <row r="78" spans="1:14">
      <c r="A78" s="3"/>
      <c r="B78" s="9"/>
      <c r="C78" s="9"/>
      <c r="D78" s="9"/>
      <c r="E78" s="9"/>
      <c r="F78" s="9"/>
      <c r="G78" s="9"/>
      <c r="H78" s="9"/>
      <c r="I78" s="9"/>
      <c r="J78" s="9"/>
      <c r="K78" s="11"/>
      <c r="L78" s="3"/>
      <c r="M78" s="3"/>
      <c r="N78" s="3"/>
    </row>
    <row r="79" spans="1:14">
      <c r="A79" s="36" t="s">
        <v>56</v>
      </c>
      <c r="B79" s="37" t="s">
        <v>777</v>
      </c>
      <c r="C79" s="37" t="s">
        <v>777</v>
      </c>
      <c r="D79" s="37" t="s">
        <v>1215</v>
      </c>
      <c r="E79" s="37" t="s">
        <v>1053</v>
      </c>
      <c r="F79" s="37" t="s">
        <v>777</v>
      </c>
      <c r="G79" s="37" t="s">
        <v>1156</v>
      </c>
      <c r="H79" s="37"/>
      <c r="I79" s="37"/>
      <c r="J79" s="38">
        <v>22769</v>
      </c>
      <c r="K79" s="37" t="s">
        <v>778</v>
      </c>
      <c r="L79" s="3"/>
      <c r="M79" s="3"/>
      <c r="N79" s="3"/>
    </row>
    <row r="80" spans="1:14">
      <c r="A80" s="39"/>
      <c r="B80" s="40">
        <v>35295</v>
      </c>
      <c r="C80" s="40">
        <v>36159</v>
      </c>
      <c r="D80" s="40">
        <v>1938</v>
      </c>
      <c r="E80" s="40">
        <v>5337</v>
      </c>
      <c r="F80" s="40">
        <v>1428</v>
      </c>
      <c r="G80" s="40">
        <v>1473</v>
      </c>
      <c r="H80" s="40"/>
      <c r="I80" s="38"/>
      <c r="J80" s="38"/>
      <c r="K80" s="38"/>
      <c r="L80" s="3"/>
      <c r="M80" s="3"/>
      <c r="N80" s="3"/>
    </row>
    <row r="81" spans="1:14">
      <c r="A81" s="3"/>
      <c r="B81" s="9"/>
      <c r="C81" s="9"/>
      <c r="D81" s="9"/>
      <c r="E81" s="9"/>
      <c r="F81" s="9"/>
      <c r="G81" s="9"/>
      <c r="H81" s="9"/>
      <c r="I81" s="9"/>
      <c r="J81" s="9"/>
      <c r="K81" s="11"/>
      <c r="L81" s="3"/>
      <c r="M81" s="3"/>
      <c r="N81" s="3"/>
    </row>
    <row r="82" spans="1:14">
      <c r="A82" s="7" t="s">
        <v>58</v>
      </c>
      <c r="B82" s="8" t="s">
        <v>710</v>
      </c>
      <c r="C82" s="8" t="s">
        <v>1055</v>
      </c>
      <c r="D82" s="8"/>
      <c r="E82" s="8" t="s">
        <v>1055</v>
      </c>
      <c r="F82" s="8" t="s">
        <v>710</v>
      </c>
      <c r="G82" s="8"/>
      <c r="H82" s="8"/>
      <c r="I82" s="8" t="s">
        <v>1218</v>
      </c>
      <c r="J82" s="9">
        <v>22762</v>
      </c>
      <c r="K82" s="8" t="s">
        <v>711</v>
      </c>
      <c r="L82" s="3"/>
      <c r="M82" s="3"/>
      <c r="N82" s="3"/>
    </row>
    <row r="83" spans="1:14">
      <c r="A83" s="3"/>
      <c r="B83" s="10">
        <v>43571</v>
      </c>
      <c r="C83" s="10">
        <v>6502</v>
      </c>
      <c r="D83" s="10"/>
      <c r="E83" s="10">
        <v>974</v>
      </c>
      <c r="F83" s="10">
        <v>2499</v>
      </c>
      <c r="G83" s="9"/>
      <c r="H83" s="9"/>
      <c r="I83" s="9">
        <v>327</v>
      </c>
      <c r="J83" s="9"/>
      <c r="K83" s="9"/>
      <c r="L83" s="3"/>
      <c r="M83" s="3"/>
      <c r="N83" s="3"/>
    </row>
    <row r="84" spans="1:14">
      <c r="A84" s="3"/>
      <c r="B84" s="9"/>
      <c r="C84" s="9"/>
      <c r="D84" s="9"/>
      <c r="E84" s="9"/>
      <c r="F84" s="9"/>
      <c r="G84" s="9"/>
      <c r="H84" s="9"/>
      <c r="I84" s="9"/>
      <c r="J84" s="9"/>
      <c r="K84" s="11"/>
      <c r="L84" s="3"/>
      <c r="M84" s="3"/>
      <c r="N84" s="3"/>
    </row>
    <row r="85" spans="1:14">
      <c r="A85" s="36" t="s">
        <v>59</v>
      </c>
      <c r="B85" s="37" t="s">
        <v>1056</v>
      </c>
      <c r="C85" s="37" t="s">
        <v>950</v>
      </c>
      <c r="D85" s="37" t="s">
        <v>1216</v>
      </c>
      <c r="E85" s="37"/>
      <c r="F85" s="37" t="s">
        <v>951</v>
      </c>
      <c r="G85" s="37" t="s">
        <v>1157</v>
      </c>
      <c r="H85" s="37" t="s">
        <v>1216</v>
      </c>
      <c r="I85" s="37" t="s">
        <v>1217</v>
      </c>
      <c r="J85" s="38">
        <v>14586</v>
      </c>
      <c r="K85" s="37" t="s">
        <v>952</v>
      </c>
      <c r="L85" s="3"/>
      <c r="M85" s="3"/>
      <c r="N85" s="3"/>
    </row>
    <row r="86" spans="1:14">
      <c r="A86" s="39"/>
      <c r="B86" s="40">
        <v>38034</v>
      </c>
      <c r="C86" s="40">
        <v>57696</v>
      </c>
      <c r="D86" s="40">
        <v>679</v>
      </c>
      <c r="E86" s="38"/>
      <c r="F86" s="40">
        <v>6082</v>
      </c>
      <c r="G86" s="40">
        <v>869</v>
      </c>
      <c r="H86" s="40">
        <v>762</v>
      </c>
      <c r="I86" s="38">
        <v>1536</v>
      </c>
      <c r="J86" s="38"/>
      <c r="K86" s="38"/>
      <c r="L86" s="3"/>
      <c r="M86" s="3"/>
      <c r="N86" s="3"/>
    </row>
    <row r="87" spans="1:14">
      <c r="A87" s="3"/>
      <c r="B87" s="9"/>
      <c r="C87" s="9"/>
      <c r="D87" s="9"/>
      <c r="E87" s="9"/>
      <c r="F87" s="9"/>
      <c r="G87" s="9"/>
      <c r="H87" s="9"/>
      <c r="I87" s="9"/>
      <c r="J87" s="9"/>
      <c r="K87" s="9"/>
      <c r="L87" s="3"/>
      <c r="M87" s="3"/>
      <c r="N87" s="3"/>
    </row>
    <row r="88" spans="1:14">
      <c r="A88" s="7" t="s">
        <v>63</v>
      </c>
      <c r="B88" s="8" t="s">
        <v>1158</v>
      </c>
      <c r="C88" s="8"/>
      <c r="D88" s="8"/>
      <c r="E88" s="8"/>
      <c r="F88" s="8" t="s">
        <v>1158</v>
      </c>
      <c r="G88" s="8"/>
      <c r="H88" s="8"/>
      <c r="I88" s="8"/>
      <c r="J88" s="9">
        <v>32667</v>
      </c>
      <c r="K88" s="8" t="s">
        <v>1159</v>
      </c>
      <c r="L88" s="3"/>
      <c r="M88" s="3"/>
      <c r="N88" s="3"/>
    </row>
    <row r="89" spans="1:14">
      <c r="A89" s="3"/>
      <c r="B89" s="10">
        <v>68938</v>
      </c>
      <c r="C89" s="9"/>
      <c r="D89" s="9"/>
      <c r="E89" s="9"/>
      <c r="F89" s="10">
        <v>5787</v>
      </c>
      <c r="G89" s="11"/>
      <c r="H89" s="11"/>
      <c r="I89" s="11"/>
      <c r="J89" s="9"/>
      <c r="K89" s="9"/>
      <c r="L89" s="3"/>
      <c r="M89" s="3"/>
      <c r="N89" s="3"/>
    </row>
    <row r="90" spans="1:14">
      <c r="A90" s="3"/>
      <c r="B90" s="9"/>
      <c r="C90" s="9"/>
      <c r="D90" s="9"/>
      <c r="E90" s="9"/>
      <c r="F90" s="9"/>
      <c r="G90" s="9"/>
      <c r="H90" s="9"/>
      <c r="I90" s="9"/>
      <c r="J90" s="9"/>
      <c r="K90" s="11"/>
      <c r="L90" s="3"/>
      <c r="M90" s="3"/>
      <c r="N90" s="3"/>
    </row>
    <row r="91" spans="1:14">
      <c r="A91" s="36" t="s">
        <v>65</v>
      </c>
      <c r="B91" s="37" t="s">
        <v>859</v>
      </c>
      <c r="C91" s="37"/>
      <c r="D91" s="37" t="s">
        <v>1219</v>
      </c>
      <c r="E91" s="37" t="s">
        <v>1057</v>
      </c>
      <c r="F91" s="37" t="s">
        <v>859</v>
      </c>
      <c r="G91" s="37"/>
      <c r="H91" s="37"/>
      <c r="I91" s="40"/>
      <c r="J91" s="38">
        <v>22177</v>
      </c>
      <c r="K91" s="37" t="s">
        <v>860</v>
      </c>
      <c r="L91" s="3"/>
      <c r="M91" s="3"/>
      <c r="N91" s="3"/>
    </row>
    <row r="92" spans="1:14">
      <c r="A92" s="39"/>
      <c r="B92" s="40">
        <v>45643</v>
      </c>
      <c r="C92" s="38"/>
      <c r="D92" s="38">
        <v>771</v>
      </c>
      <c r="E92" s="40">
        <v>1064</v>
      </c>
      <c r="F92" s="40">
        <v>2311</v>
      </c>
      <c r="G92" s="38"/>
      <c r="H92" s="38"/>
      <c r="I92" s="40"/>
      <c r="J92" s="38"/>
      <c r="K92" s="38"/>
      <c r="L92" s="3"/>
      <c r="M92" s="3"/>
      <c r="N92" s="3"/>
    </row>
    <row r="93" spans="1:14">
      <c r="A93" s="3"/>
      <c r="B93" s="9"/>
      <c r="C93" s="9"/>
      <c r="D93" s="9"/>
      <c r="E93" s="9"/>
      <c r="F93" s="9"/>
      <c r="G93" s="9"/>
      <c r="H93" s="9"/>
      <c r="I93" s="9"/>
      <c r="J93" s="9"/>
      <c r="K93" s="11"/>
      <c r="L93" s="3"/>
      <c r="M93" s="3"/>
      <c r="N93" s="3"/>
    </row>
    <row r="94" spans="1:14">
      <c r="A94" s="3" t="s">
        <v>67</v>
      </c>
      <c r="B94" s="10" t="s">
        <v>956</v>
      </c>
      <c r="C94" s="10"/>
      <c r="D94" s="10" t="s">
        <v>716</v>
      </c>
      <c r="E94" s="10"/>
      <c r="F94" s="10" t="s">
        <v>956</v>
      </c>
      <c r="G94" s="10" t="s">
        <v>1160</v>
      </c>
      <c r="H94" s="10"/>
      <c r="I94" s="10"/>
      <c r="J94" s="9">
        <v>22471</v>
      </c>
      <c r="K94" s="8" t="s">
        <v>785</v>
      </c>
      <c r="L94" s="3"/>
      <c r="M94" s="3"/>
      <c r="N94" s="3"/>
    </row>
    <row r="95" spans="1:14">
      <c r="A95" s="3"/>
      <c r="B95" s="10">
        <v>61272</v>
      </c>
      <c r="C95" s="9"/>
      <c r="D95" s="9">
        <v>793</v>
      </c>
      <c r="E95" s="9"/>
      <c r="F95" s="10">
        <v>2238</v>
      </c>
      <c r="G95" s="9">
        <v>462</v>
      </c>
      <c r="H95" s="9"/>
      <c r="I95" s="9"/>
      <c r="J95" s="9"/>
      <c r="K95" s="9"/>
      <c r="L95" s="3"/>
      <c r="M95" s="3"/>
      <c r="N95" s="3"/>
    </row>
    <row r="96" spans="1:14">
      <c r="A96" s="3"/>
      <c r="B96" s="9"/>
      <c r="C96" s="9"/>
      <c r="D96" s="9"/>
      <c r="E96" s="9"/>
      <c r="F96" s="9"/>
      <c r="G96" s="9"/>
      <c r="H96" s="9"/>
      <c r="I96" s="9"/>
      <c r="J96" s="9"/>
      <c r="K96" s="9"/>
      <c r="L96" s="3"/>
      <c r="M96" s="3"/>
      <c r="N96" s="3"/>
    </row>
    <row r="97" spans="1:14">
      <c r="A97" s="39" t="s">
        <v>68</v>
      </c>
      <c r="B97" s="40" t="s">
        <v>1161</v>
      </c>
      <c r="C97" s="40"/>
      <c r="D97" s="40" t="s">
        <v>1220</v>
      </c>
      <c r="E97" s="40" t="s">
        <v>1162</v>
      </c>
      <c r="F97" s="40" t="s">
        <v>1163</v>
      </c>
      <c r="G97" s="40"/>
      <c r="H97" s="40"/>
      <c r="I97" s="40"/>
      <c r="J97" s="38">
        <v>32152</v>
      </c>
      <c r="K97" s="40" t="s">
        <v>1164</v>
      </c>
      <c r="L97" s="3"/>
      <c r="M97" s="3"/>
      <c r="N97" s="3"/>
    </row>
    <row r="98" spans="1:14">
      <c r="A98" s="39"/>
      <c r="B98" s="40">
        <v>76895</v>
      </c>
      <c r="C98" s="38"/>
      <c r="D98" s="38">
        <v>1148</v>
      </c>
      <c r="E98" s="40">
        <v>3705</v>
      </c>
      <c r="F98" s="40">
        <v>4774</v>
      </c>
      <c r="G98" s="38"/>
      <c r="H98" s="38"/>
      <c r="I98" s="38"/>
      <c r="J98" s="38"/>
      <c r="K98" s="38"/>
      <c r="L98" s="3"/>
      <c r="M98" s="3"/>
      <c r="N98" s="3"/>
    </row>
    <row r="99" spans="1:14">
      <c r="A99" s="3"/>
      <c r="B99" s="10"/>
      <c r="C99" s="9"/>
      <c r="D99" s="9"/>
      <c r="E99" s="10"/>
      <c r="F99" s="10"/>
      <c r="G99" s="9"/>
      <c r="H99" s="9"/>
      <c r="I99" s="9"/>
      <c r="J99" s="9"/>
      <c r="K99" s="9"/>
      <c r="L99" s="3"/>
      <c r="M99" s="3"/>
      <c r="N99" s="3"/>
    </row>
    <row r="100" spans="1:14">
      <c r="A100" s="3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3"/>
      <c r="M100" s="3"/>
      <c r="N100" s="3"/>
    </row>
    <row r="101" spans="1:14">
      <c r="A101" s="3" t="s">
        <v>69</v>
      </c>
      <c r="B101" s="10" t="s">
        <v>959</v>
      </c>
      <c r="C101" s="10" t="s">
        <v>1165</v>
      </c>
      <c r="D101" s="10" t="s">
        <v>718</v>
      </c>
      <c r="E101" s="10" t="s">
        <v>1061</v>
      </c>
      <c r="F101" s="10" t="s">
        <v>961</v>
      </c>
      <c r="G101" s="10"/>
      <c r="H101" s="10"/>
      <c r="I101" s="10"/>
      <c r="J101" s="9">
        <v>15781</v>
      </c>
      <c r="K101" s="10" t="s">
        <v>720</v>
      </c>
      <c r="L101" s="3"/>
      <c r="M101" s="3"/>
      <c r="N101" s="3"/>
    </row>
    <row r="102" spans="1:14">
      <c r="A102" s="3"/>
      <c r="B102" s="10">
        <v>36445</v>
      </c>
      <c r="C102" s="10">
        <v>1813</v>
      </c>
      <c r="D102" s="10">
        <v>683</v>
      </c>
      <c r="E102" s="10">
        <v>443</v>
      </c>
      <c r="F102" s="10">
        <v>890</v>
      </c>
      <c r="G102" s="9"/>
      <c r="H102" s="9"/>
      <c r="I102" s="9"/>
      <c r="J102" s="9"/>
      <c r="K102" s="9"/>
      <c r="L102" s="3"/>
      <c r="M102" s="3"/>
      <c r="N102" s="3"/>
    </row>
    <row r="103" spans="1:14">
      <c r="A103" s="3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3"/>
      <c r="M103" s="3"/>
      <c r="N103" s="3"/>
    </row>
    <row r="104" spans="1:14">
      <c r="A104" s="39" t="s">
        <v>70</v>
      </c>
      <c r="B104" s="40" t="s">
        <v>1062</v>
      </c>
      <c r="C104" s="40" t="s">
        <v>1062</v>
      </c>
      <c r="D104" s="40"/>
      <c r="E104" s="40" t="s">
        <v>1166</v>
      </c>
      <c r="F104" s="40" t="s">
        <v>1167</v>
      </c>
      <c r="G104" s="40"/>
      <c r="H104" s="40"/>
      <c r="I104" s="40"/>
      <c r="J104" s="38">
        <v>20399</v>
      </c>
      <c r="K104" s="40" t="s">
        <v>1064</v>
      </c>
      <c r="L104" s="3"/>
      <c r="M104" s="3"/>
      <c r="N104" s="3"/>
    </row>
    <row r="105" spans="1:14">
      <c r="A105" s="39"/>
      <c r="B105" s="40">
        <v>41861</v>
      </c>
      <c r="C105" s="40">
        <v>2188</v>
      </c>
      <c r="D105" s="40"/>
      <c r="E105" s="40">
        <v>666</v>
      </c>
      <c r="F105" s="40">
        <v>11954</v>
      </c>
      <c r="G105" s="38"/>
      <c r="H105" s="38"/>
      <c r="I105" s="38"/>
      <c r="J105" s="38"/>
      <c r="K105" s="38"/>
      <c r="L105" s="3"/>
      <c r="M105" s="3"/>
      <c r="N105" s="3"/>
    </row>
    <row r="106" spans="1:14">
      <c r="A106" s="3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3"/>
      <c r="M106" s="3"/>
      <c r="N106" s="3"/>
    </row>
    <row r="107" spans="1:14">
      <c r="A107" s="3" t="s">
        <v>71</v>
      </c>
      <c r="B107" s="10" t="s">
        <v>1065</v>
      </c>
      <c r="C107" s="10" t="s">
        <v>1168</v>
      </c>
      <c r="D107" s="10"/>
      <c r="E107" s="10" t="s">
        <v>1168</v>
      </c>
      <c r="F107" s="10" t="s">
        <v>1169</v>
      </c>
      <c r="G107" s="10"/>
      <c r="H107" s="10"/>
      <c r="I107" s="10"/>
      <c r="J107" s="9">
        <v>22612</v>
      </c>
      <c r="K107" s="10" t="s">
        <v>1067</v>
      </c>
      <c r="L107" s="3"/>
      <c r="M107" s="3"/>
      <c r="N107" s="3"/>
    </row>
    <row r="108" spans="1:14">
      <c r="A108" s="3"/>
      <c r="B108" s="10">
        <v>55676</v>
      </c>
      <c r="C108" s="10">
        <v>3211</v>
      </c>
      <c r="D108" s="10"/>
      <c r="E108" s="10">
        <v>667</v>
      </c>
      <c r="F108" s="10">
        <v>1431</v>
      </c>
      <c r="G108" s="9"/>
      <c r="H108" s="9"/>
      <c r="I108" s="9"/>
      <c r="J108" s="9"/>
      <c r="K108" s="9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41" t="s">
        <v>5</v>
      </c>
      <c r="B110" s="37" t="s">
        <v>863</v>
      </c>
      <c r="C110" s="37" t="s">
        <v>863</v>
      </c>
      <c r="D110" s="37" t="s">
        <v>1221</v>
      </c>
      <c r="E110" s="37" t="s">
        <v>863</v>
      </c>
      <c r="F110" s="37" t="s">
        <v>865</v>
      </c>
      <c r="G110" s="37"/>
      <c r="H110" s="37"/>
      <c r="I110" s="37"/>
      <c r="J110" s="38">
        <v>15502</v>
      </c>
      <c r="K110" s="37" t="s">
        <v>866</v>
      </c>
      <c r="L110" s="9"/>
      <c r="M110" s="3"/>
      <c r="N110" s="3"/>
    </row>
    <row r="111" spans="1:14">
      <c r="A111" s="38"/>
      <c r="B111" s="38">
        <v>38400</v>
      </c>
      <c r="C111" s="40">
        <v>21452</v>
      </c>
      <c r="D111" s="40">
        <v>2235</v>
      </c>
      <c r="E111" s="40">
        <v>4765</v>
      </c>
      <c r="F111" s="41" t="s">
        <v>865</v>
      </c>
      <c r="G111" s="41"/>
      <c r="H111" s="41"/>
      <c r="I111" s="40"/>
      <c r="J111" s="38"/>
      <c r="K111" s="41"/>
      <c r="L111" s="9"/>
      <c r="M111" s="3"/>
      <c r="N111" s="3"/>
    </row>
    <row r="112" spans="1:14">
      <c r="A112" s="9"/>
      <c r="B112" s="9"/>
      <c r="C112" s="9"/>
      <c r="D112" s="9"/>
      <c r="E112" s="9"/>
      <c r="F112" s="9" t="s">
        <v>870</v>
      </c>
      <c r="G112" s="9"/>
      <c r="H112" s="9"/>
      <c r="I112" s="9"/>
      <c r="J112" s="9"/>
      <c r="K112" s="9"/>
      <c r="L112" s="9"/>
      <c r="M112" s="3"/>
      <c r="N112" s="3"/>
    </row>
    <row r="113" spans="1:14">
      <c r="A113" s="11" t="s">
        <v>104</v>
      </c>
      <c r="B113" s="8" t="s">
        <v>1170</v>
      </c>
      <c r="C113" s="8" t="s">
        <v>721</v>
      </c>
      <c r="D113" s="8" t="s">
        <v>967</v>
      </c>
      <c r="E113" s="8" t="s">
        <v>721</v>
      </c>
      <c r="F113" s="8"/>
      <c r="G113" s="8" t="s">
        <v>1171</v>
      </c>
      <c r="H113" s="8"/>
      <c r="I113" s="8" t="s">
        <v>1226</v>
      </c>
      <c r="J113" s="9">
        <v>11255</v>
      </c>
      <c r="K113" s="8" t="s">
        <v>868</v>
      </c>
      <c r="L113" s="9"/>
      <c r="M113" s="3"/>
      <c r="N113" s="3"/>
    </row>
    <row r="114" spans="1:14">
      <c r="A114" s="9"/>
      <c r="B114" s="9">
        <v>43698</v>
      </c>
      <c r="C114" s="10">
        <v>44811</v>
      </c>
      <c r="D114" s="10">
        <v>2177</v>
      </c>
      <c r="E114" s="10">
        <v>6155</v>
      </c>
      <c r="F114" s="9"/>
      <c r="G114" s="10">
        <v>2309</v>
      </c>
      <c r="H114" s="10"/>
      <c r="I114" s="10">
        <v>1030</v>
      </c>
      <c r="J114" s="9"/>
      <c r="K114" s="11"/>
      <c r="L114" s="9"/>
      <c r="M114" s="3"/>
      <c r="N114" s="3"/>
    </row>
    <row r="115" spans="1:14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3"/>
      <c r="N115" s="3"/>
    </row>
    <row r="116" spans="1:14">
      <c r="A116" s="41" t="s">
        <v>8</v>
      </c>
      <c r="B116" s="37" t="s">
        <v>969</v>
      </c>
      <c r="C116" s="37" t="s">
        <v>1172</v>
      </c>
      <c r="D116" s="37" t="s">
        <v>1222</v>
      </c>
      <c r="E116" s="37" t="s">
        <v>1172</v>
      </c>
      <c r="F116" s="37" t="s">
        <v>870</v>
      </c>
      <c r="G116" s="37" t="s">
        <v>1173</v>
      </c>
      <c r="H116" s="37"/>
      <c r="I116" s="40" t="s">
        <v>1225</v>
      </c>
      <c r="J116" s="38">
        <v>12386</v>
      </c>
      <c r="K116" s="37" t="s">
        <v>557</v>
      </c>
      <c r="L116" s="9"/>
      <c r="M116" s="3"/>
      <c r="N116" s="3"/>
    </row>
    <row r="117" spans="1:14">
      <c r="A117" s="38"/>
      <c r="B117" s="38">
        <v>69308</v>
      </c>
      <c r="C117" s="38">
        <v>34055</v>
      </c>
      <c r="D117" s="38">
        <v>1698</v>
      </c>
      <c r="E117" s="38">
        <v>4282</v>
      </c>
      <c r="F117" s="38"/>
      <c r="G117" s="38">
        <v>1893</v>
      </c>
      <c r="H117" s="38"/>
      <c r="I117" s="38">
        <v>362</v>
      </c>
      <c r="J117" s="38"/>
      <c r="K117" s="41"/>
      <c r="L117" s="9"/>
      <c r="M117" s="3"/>
      <c r="N117" s="3"/>
    </row>
    <row r="118" spans="1:14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3"/>
      <c r="N118" s="3"/>
    </row>
    <row r="119" spans="1:14">
      <c r="A119" s="11" t="s">
        <v>10</v>
      </c>
      <c r="B119" s="8" t="s">
        <v>1174</v>
      </c>
      <c r="C119" s="8" t="s">
        <v>971</v>
      </c>
      <c r="D119" s="8" t="s">
        <v>1223</v>
      </c>
      <c r="E119" s="8" t="s">
        <v>971</v>
      </c>
      <c r="F119" s="8"/>
      <c r="G119" s="8" t="s">
        <v>972</v>
      </c>
      <c r="H119" s="8"/>
      <c r="I119" s="8" t="s">
        <v>1224</v>
      </c>
      <c r="J119" s="9">
        <v>14058</v>
      </c>
      <c r="K119" s="8" t="s">
        <v>648</v>
      </c>
      <c r="L119" s="9"/>
      <c r="M119" s="3"/>
      <c r="N119" s="3"/>
    </row>
    <row r="120" spans="1:14">
      <c r="A120" s="9"/>
      <c r="B120" s="10">
        <v>44188</v>
      </c>
      <c r="C120" s="9">
        <v>55908</v>
      </c>
      <c r="D120" s="9">
        <v>2831</v>
      </c>
      <c r="E120" s="9">
        <v>8603</v>
      </c>
      <c r="F120" s="9"/>
      <c r="G120" s="9">
        <v>2603</v>
      </c>
      <c r="H120" s="9"/>
      <c r="I120" s="9">
        <v>1433</v>
      </c>
      <c r="J120" s="9"/>
      <c r="K120" s="11"/>
      <c r="L120" s="9"/>
      <c r="M120" s="3"/>
      <c r="N120" s="3"/>
    </row>
    <row r="121" spans="1:14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3"/>
      <c r="N121" s="3"/>
    </row>
    <row r="122" spans="1:14">
      <c r="A122" s="41" t="s">
        <v>14</v>
      </c>
      <c r="B122" s="37" t="s">
        <v>1175</v>
      </c>
      <c r="C122" s="37" t="s">
        <v>1023</v>
      </c>
      <c r="D122" s="37" t="s">
        <v>1228</v>
      </c>
      <c r="E122" s="37" t="s">
        <v>1023</v>
      </c>
      <c r="F122" s="37" t="s">
        <v>870</v>
      </c>
      <c r="G122" s="37"/>
      <c r="H122" s="37"/>
      <c r="I122" s="37" t="s">
        <v>1227</v>
      </c>
      <c r="J122" s="38">
        <v>14184</v>
      </c>
      <c r="K122" s="37" t="s">
        <v>1073</v>
      </c>
      <c r="L122" s="9"/>
      <c r="M122" s="3"/>
      <c r="N122" s="3"/>
    </row>
    <row r="123" spans="1:14">
      <c r="A123" s="38"/>
      <c r="B123" s="38">
        <v>43054</v>
      </c>
      <c r="C123" s="38">
        <v>57996</v>
      </c>
      <c r="D123" s="38">
        <v>2791</v>
      </c>
      <c r="E123" s="38">
        <v>8386</v>
      </c>
      <c r="F123" s="38"/>
      <c r="G123" s="38"/>
      <c r="H123" s="38"/>
      <c r="I123" s="38">
        <v>1941</v>
      </c>
      <c r="J123" s="38"/>
      <c r="K123" s="41"/>
      <c r="L123" s="9"/>
      <c r="M123" s="3"/>
      <c r="N123" s="3"/>
    </row>
    <row r="124" spans="1:14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3"/>
      <c r="N124" s="3"/>
    </row>
    <row r="125" spans="1:14">
      <c r="A125" s="11" t="s">
        <v>17</v>
      </c>
      <c r="B125" s="8" t="s">
        <v>1176</v>
      </c>
      <c r="C125" s="8" t="s">
        <v>335</v>
      </c>
      <c r="D125" s="8"/>
      <c r="E125" s="8" t="s">
        <v>335</v>
      </c>
      <c r="F125" s="8"/>
      <c r="G125" s="8" t="s">
        <v>870</v>
      </c>
      <c r="H125" s="8"/>
      <c r="I125" s="8" t="s">
        <v>865</v>
      </c>
      <c r="J125" s="9">
        <v>20472</v>
      </c>
      <c r="K125" s="8" t="s">
        <v>337</v>
      </c>
      <c r="L125" s="9"/>
      <c r="M125" s="3"/>
      <c r="N125" s="3"/>
    </row>
    <row r="126" spans="1:14">
      <c r="A126" s="9"/>
      <c r="B126" s="9">
        <v>42206</v>
      </c>
      <c r="C126" s="9">
        <v>53506</v>
      </c>
      <c r="D126" s="9"/>
      <c r="E126" s="9">
        <v>7814</v>
      </c>
      <c r="F126" s="9"/>
      <c r="G126" s="11" t="s">
        <v>870</v>
      </c>
      <c r="H126" s="11"/>
      <c r="I126" s="11" t="s">
        <v>865</v>
      </c>
      <c r="J126" s="9"/>
      <c r="K126" s="11"/>
      <c r="L126" s="9"/>
      <c r="M126" s="3"/>
      <c r="N126" s="3"/>
    </row>
    <row r="127" spans="1:14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3"/>
      <c r="N127" s="3"/>
    </row>
    <row r="128" spans="1:14">
      <c r="A128" s="41" t="s">
        <v>19</v>
      </c>
      <c r="B128" s="37" t="s">
        <v>1177</v>
      </c>
      <c r="C128" s="37" t="s">
        <v>1178</v>
      </c>
      <c r="D128" s="37"/>
      <c r="E128" s="37" t="s">
        <v>1179</v>
      </c>
      <c r="F128" s="37"/>
      <c r="G128" s="37" t="s">
        <v>1179</v>
      </c>
      <c r="H128" s="37"/>
      <c r="I128" s="37" t="s">
        <v>870</v>
      </c>
      <c r="J128" s="40">
        <v>20472</v>
      </c>
      <c r="K128" s="37" t="s">
        <v>1180</v>
      </c>
      <c r="L128" s="9"/>
      <c r="M128" s="3"/>
      <c r="N128" s="3"/>
    </row>
    <row r="129" spans="1:14">
      <c r="A129" s="38"/>
      <c r="B129" s="38">
        <v>36405</v>
      </c>
      <c r="C129" s="38">
        <v>64509</v>
      </c>
      <c r="D129" s="38"/>
      <c r="E129" s="38">
        <v>6686</v>
      </c>
      <c r="F129" s="38"/>
      <c r="G129" s="38">
        <v>2641</v>
      </c>
      <c r="H129" s="38"/>
      <c r="I129" s="41" t="s">
        <v>870</v>
      </c>
      <c r="J129" s="38"/>
      <c r="K129" s="41"/>
      <c r="L129" s="9"/>
      <c r="M129" s="3"/>
      <c r="N129" s="3"/>
    </row>
    <row r="130" spans="1:14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3"/>
      <c r="N130" s="3"/>
    </row>
    <row r="131" spans="1:14">
      <c r="A131" s="11" t="s">
        <v>20</v>
      </c>
      <c r="B131" s="8" t="s">
        <v>1076</v>
      </c>
      <c r="C131" s="8" t="s">
        <v>489</v>
      </c>
      <c r="D131" s="8" t="s">
        <v>1240</v>
      </c>
      <c r="E131" s="8" t="s">
        <v>489</v>
      </c>
      <c r="F131" s="8"/>
      <c r="G131" s="8"/>
      <c r="H131" s="8"/>
      <c r="I131" s="8" t="s">
        <v>1241</v>
      </c>
      <c r="J131" s="10">
        <v>15195</v>
      </c>
      <c r="K131" s="8" t="s">
        <v>563</v>
      </c>
      <c r="L131" s="9"/>
      <c r="M131" s="3"/>
      <c r="N131" s="3"/>
    </row>
    <row r="132" spans="1:14">
      <c r="A132" s="9"/>
      <c r="B132" s="9">
        <v>30043</v>
      </c>
      <c r="C132" s="9">
        <v>60332</v>
      </c>
      <c r="D132" s="9">
        <v>3725</v>
      </c>
      <c r="E132" s="9">
        <v>9787</v>
      </c>
      <c r="F132" s="9"/>
      <c r="G132" s="9"/>
      <c r="H132" s="9"/>
      <c r="I132" s="9">
        <v>735</v>
      </c>
      <c r="J132" s="9"/>
      <c r="K132" s="11"/>
      <c r="L132" s="9"/>
      <c r="M132" s="3"/>
      <c r="N132" s="3"/>
    </row>
    <row r="133" spans="1:14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3"/>
      <c r="N133" s="3"/>
    </row>
    <row r="134" spans="1:14">
      <c r="A134" s="41" t="s">
        <v>22</v>
      </c>
      <c r="B134" s="37" t="s">
        <v>975</v>
      </c>
      <c r="C134" s="37" t="s">
        <v>1181</v>
      </c>
      <c r="D134" s="37" t="s">
        <v>1181</v>
      </c>
      <c r="E134" s="37" t="s">
        <v>1077</v>
      </c>
      <c r="F134" s="37"/>
      <c r="G134" s="37"/>
      <c r="H134" s="37"/>
      <c r="I134" s="37" t="s">
        <v>1242</v>
      </c>
      <c r="J134" s="40">
        <v>9528</v>
      </c>
      <c r="K134" s="37" t="s">
        <v>92</v>
      </c>
      <c r="L134" s="9"/>
      <c r="M134" s="3"/>
      <c r="N134" s="3"/>
    </row>
    <row r="135" spans="1:14">
      <c r="A135" s="38"/>
      <c r="B135" s="40">
        <v>68487</v>
      </c>
      <c r="C135" s="38">
        <v>56483</v>
      </c>
      <c r="D135" s="38">
        <v>3916</v>
      </c>
      <c r="E135" s="38">
        <v>3693</v>
      </c>
      <c r="F135" s="38"/>
      <c r="G135" s="38"/>
      <c r="H135" s="38"/>
      <c r="I135" s="38">
        <v>928</v>
      </c>
      <c r="J135" s="38"/>
      <c r="K135" s="41"/>
      <c r="L135" s="9"/>
      <c r="M135" s="3"/>
      <c r="N135" s="3"/>
    </row>
    <row r="136" spans="1:14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3"/>
      <c r="N136" s="3"/>
    </row>
    <row r="137" spans="1:14">
      <c r="A137" s="11" t="s">
        <v>25</v>
      </c>
      <c r="B137" s="8" t="s">
        <v>1182</v>
      </c>
      <c r="C137" s="8" t="s">
        <v>729</v>
      </c>
      <c r="D137" s="8" t="s">
        <v>422</v>
      </c>
      <c r="E137" s="8" t="s">
        <v>729</v>
      </c>
      <c r="F137" s="8" t="s">
        <v>1182</v>
      </c>
      <c r="G137" s="8"/>
      <c r="H137" s="8"/>
      <c r="I137" s="8" t="s">
        <v>1243</v>
      </c>
      <c r="J137" s="9">
        <v>12662</v>
      </c>
      <c r="K137" s="8" t="s">
        <v>731</v>
      </c>
      <c r="L137" s="9"/>
      <c r="M137" s="3"/>
      <c r="N137" s="3"/>
    </row>
    <row r="138" spans="1:14">
      <c r="A138" s="9"/>
      <c r="B138" s="10">
        <v>44796</v>
      </c>
      <c r="C138" s="9">
        <v>62467</v>
      </c>
      <c r="D138" s="9">
        <v>4757</v>
      </c>
      <c r="E138" s="9">
        <v>8388</v>
      </c>
      <c r="F138" s="9">
        <v>1902</v>
      </c>
      <c r="G138" s="9"/>
      <c r="H138" s="9"/>
      <c r="I138" s="9">
        <v>1510</v>
      </c>
      <c r="J138" s="9"/>
      <c r="K138" s="11"/>
      <c r="L138" s="9"/>
      <c r="M138" s="3"/>
      <c r="N138" s="3"/>
    </row>
    <row r="139" spans="1:14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3"/>
      <c r="N139" s="3"/>
    </row>
    <row r="140" spans="1:14">
      <c r="A140" s="41" t="s">
        <v>27</v>
      </c>
      <c r="B140" s="37" t="s">
        <v>1183</v>
      </c>
      <c r="C140" s="37" t="s">
        <v>568</v>
      </c>
      <c r="D140" s="37" t="s">
        <v>568</v>
      </c>
      <c r="E140" s="37" t="s">
        <v>568</v>
      </c>
      <c r="F140" s="37" t="s">
        <v>1183</v>
      </c>
      <c r="G140" s="37"/>
      <c r="H140" s="37"/>
      <c r="I140" s="37" t="s">
        <v>1244</v>
      </c>
      <c r="J140" s="38">
        <v>14450</v>
      </c>
      <c r="K140" s="37" t="s">
        <v>416</v>
      </c>
      <c r="L140" s="9"/>
      <c r="M140" s="3"/>
      <c r="N140" s="3"/>
    </row>
    <row r="141" spans="1:14">
      <c r="A141" s="38"/>
      <c r="B141" s="38">
        <v>36844</v>
      </c>
      <c r="C141" s="38">
        <v>61044</v>
      </c>
      <c r="D141" s="38">
        <v>5871</v>
      </c>
      <c r="E141" s="38">
        <v>7097</v>
      </c>
      <c r="F141" s="38">
        <v>2549</v>
      </c>
      <c r="G141" s="38"/>
      <c r="H141" s="38"/>
      <c r="I141" s="38">
        <v>1251</v>
      </c>
      <c r="J141" s="38"/>
      <c r="K141" s="41"/>
      <c r="L141" s="9"/>
      <c r="M141" s="3"/>
      <c r="N141" s="3"/>
    </row>
    <row r="142" spans="1:14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3"/>
      <c r="N142" s="3"/>
    </row>
    <row r="143" spans="1:14">
      <c r="A143" s="11" t="s">
        <v>30</v>
      </c>
      <c r="B143" s="8" t="s">
        <v>865</v>
      </c>
      <c r="C143" s="8" t="s">
        <v>977</v>
      </c>
      <c r="D143" s="8"/>
      <c r="E143" s="8" t="s">
        <v>977</v>
      </c>
      <c r="F143" s="8" t="s">
        <v>1184</v>
      </c>
      <c r="G143" s="8"/>
      <c r="H143" s="8"/>
      <c r="I143" s="8" t="s">
        <v>1245</v>
      </c>
      <c r="J143" s="9">
        <v>37597</v>
      </c>
      <c r="K143" s="8" t="s">
        <v>978</v>
      </c>
      <c r="L143" s="9"/>
      <c r="M143" s="3"/>
      <c r="N143" s="3"/>
    </row>
    <row r="144" spans="1:14">
      <c r="A144" s="9"/>
      <c r="B144" s="11" t="s">
        <v>865</v>
      </c>
      <c r="C144" s="9">
        <v>62169</v>
      </c>
      <c r="D144" s="9"/>
      <c r="E144" s="9">
        <v>9134</v>
      </c>
      <c r="F144" s="9">
        <v>5959</v>
      </c>
      <c r="G144" s="9"/>
      <c r="H144" s="9"/>
      <c r="I144" s="9">
        <v>2171</v>
      </c>
      <c r="J144" s="9"/>
      <c r="K144" s="11"/>
      <c r="L144" s="9"/>
      <c r="M144" s="3"/>
      <c r="N144" s="3"/>
    </row>
    <row r="145" spans="1:14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3"/>
      <c r="N145" s="3"/>
    </row>
    <row r="146" spans="1:14">
      <c r="A146" s="41" t="s">
        <v>31</v>
      </c>
      <c r="B146" s="37" t="s">
        <v>1185</v>
      </c>
      <c r="C146" s="37" t="s">
        <v>979</v>
      </c>
      <c r="D146" s="37" t="s">
        <v>1246</v>
      </c>
      <c r="E146" s="37" t="s">
        <v>979</v>
      </c>
      <c r="F146" s="37" t="s">
        <v>865</v>
      </c>
      <c r="G146" s="37"/>
      <c r="H146" s="37"/>
      <c r="I146" s="37" t="s">
        <v>1186</v>
      </c>
      <c r="J146" s="38">
        <v>13539</v>
      </c>
      <c r="K146" s="37" t="s">
        <v>735</v>
      </c>
      <c r="L146" s="9"/>
      <c r="M146" s="3"/>
      <c r="N146" s="3"/>
    </row>
    <row r="147" spans="1:14">
      <c r="A147" s="38"/>
      <c r="B147" s="38">
        <v>24174</v>
      </c>
      <c r="C147" s="38">
        <v>50074</v>
      </c>
      <c r="D147" s="38">
        <v>3954</v>
      </c>
      <c r="E147" s="38">
        <v>6941</v>
      </c>
      <c r="F147" s="38"/>
      <c r="G147" s="38"/>
      <c r="H147" s="38"/>
      <c r="I147" s="38">
        <v>1219</v>
      </c>
      <c r="J147" s="38"/>
      <c r="K147" s="41"/>
      <c r="L147" s="9"/>
      <c r="M147" s="3"/>
      <c r="N147" s="3"/>
    </row>
    <row r="148" spans="1:14">
      <c r="A148" s="38"/>
      <c r="B148" s="38"/>
      <c r="C148" s="38"/>
      <c r="D148" s="38"/>
      <c r="E148" s="38"/>
      <c r="F148" s="38"/>
      <c r="G148" s="38"/>
      <c r="H148" s="38"/>
      <c r="I148" s="40" t="s">
        <v>1187</v>
      </c>
      <c r="J148" s="38"/>
      <c r="K148" s="38"/>
      <c r="L148" s="9"/>
      <c r="M148" s="3"/>
      <c r="N148" s="3"/>
    </row>
    <row r="149" spans="1:14">
      <c r="A149" s="38"/>
      <c r="B149" s="38"/>
      <c r="C149" s="38"/>
      <c r="D149" s="38"/>
      <c r="E149" s="38"/>
      <c r="F149" s="38"/>
      <c r="G149" s="38"/>
      <c r="H149" s="38"/>
      <c r="I149" s="38">
        <v>935</v>
      </c>
      <c r="J149" s="38"/>
      <c r="K149" s="38"/>
      <c r="L149" s="9"/>
      <c r="M149" s="3"/>
      <c r="N149" s="3"/>
    </row>
    <row r="150" spans="1:14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3"/>
      <c r="N150" s="3"/>
    </row>
    <row r="151" spans="1:14">
      <c r="A151" s="11" t="s">
        <v>34</v>
      </c>
      <c r="B151" s="8"/>
      <c r="C151" s="8" t="s">
        <v>795</v>
      </c>
      <c r="D151" s="8"/>
      <c r="E151" s="8" t="s">
        <v>795</v>
      </c>
      <c r="F151" s="8"/>
      <c r="G151" s="8" t="s">
        <v>1188</v>
      </c>
      <c r="H151" s="8"/>
      <c r="I151" s="8" t="s">
        <v>1247</v>
      </c>
      <c r="J151" s="9">
        <v>40132</v>
      </c>
      <c r="K151" s="8" t="s">
        <v>796</v>
      </c>
      <c r="L151" s="9"/>
      <c r="M151" s="3"/>
      <c r="N151" s="3"/>
    </row>
    <row r="152" spans="1:14">
      <c r="A152" s="9"/>
      <c r="B152" s="11"/>
      <c r="C152" s="9">
        <v>57503</v>
      </c>
      <c r="D152" s="9"/>
      <c r="E152" s="9">
        <v>9244</v>
      </c>
      <c r="F152" s="9"/>
      <c r="G152" s="9">
        <v>6142</v>
      </c>
      <c r="H152" s="9"/>
      <c r="I152" s="9">
        <v>2535</v>
      </c>
      <c r="J152" s="9"/>
      <c r="K152" s="11"/>
      <c r="L152" s="9"/>
      <c r="M152" s="3"/>
      <c r="N152" s="3"/>
    </row>
    <row r="153" spans="1:14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3"/>
      <c r="N153" s="3"/>
    </row>
    <row r="154" spans="1:14">
      <c r="A154" s="41" t="s">
        <v>37</v>
      </c>
      <c r="B154" s="37" t="s">
        <v>1079</v>
      </c>
      <c r="C154" s="37" t="s">
        <v>1189</v>
      </c>
      <c r="D154" s="37" t="s">
        <v>1103</v>
      </c>
      <c r="E154" s="37" t="s">
        <v>1189</v>
      </c>
      <c r="F154" s="37"/>
      <c r="G154" s="37" t="s">
        <v>865</v>
      </c>
      <c r="H154" s="37"/>
      <c r="I154" s="37" t="s">
        <v>1248</v>
      </c>
      <c r="J154" s="38">
        <v>8535</v>
      </c>
      <c r="K154" s="37" t="s">
        <v>737</v>
      </c>
      <c r="L154" s="9"/>
      <c r="M154" s="3"/>
      <c r="N154" s="3"/>
    </row>
    <row r="155" spans="1:14">
      <c r="A155" s="38"/>
      <c r="B155" s="38">
        <v>67529</v>
      </c>
      <c r="C155" s="38">
        <v>22763</v>
      </c>
      <c r="D155" s="38">
        <v>6902</v>
      </c>
      <c r="E155" s="38">
        <v>2933</v>
      </c>
      <c r="F155" s="38"/>
      <c r="G155" s="38"/>
      <c r="H155" s="38"/>
      <c r="I155" s="38">
        <v>393</v>
      </c>
      <c r="J155" s="38"/>
      <c r="K155" s="41"/>
      <c r="L155" s="9"/>
      <c r="M155" s="3"/>
      <c r="N155" s="3"/>
    </row>
    <row r="156" spans="1:14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3"/>
      <c r="N156" s="3"/>
    </row>
    <row r="157" spans="1:14">
      <c r="A157" s="11" t="s">
        <v>39</v>
      </c>
      <c r="B157" s="8" t="s">
        <v>1080</v>
      </c>
      <c r="C157" s="8" t="s">
        <v>982</v>
      </c>
      <c r="D157" s="8"/>
      <c r="E157" s="8" t="s">
        <v>982</v>
      </c>
      <c r="F157" s="8"/>
      <c r="G157" s="8"/>
      <c r="H157" s="8"/>
      <c r="I157" s="8" t="s">
        <v>1249</v>
      </c>
      <c r="J157" s="9">
        <v>16078</v>
      </c>
      <c r="K157" s="8" t="s">
        <v>40</v>
      </c>
      <c r="L157" s="9"/>
      <c r="M157" s="3"/>
      <c r="N157" s="3"/>
    </row>
    <row r="158" spans="1:14">
      <c r="A158" s="9"/>
      <c r="B158" s="9">
        <v>31262</v>
      </c>
      <c r="C158" s="9">
        <v>71959</v>
      </c>
      <c r="D158" s="9"/>
      <c r="E158" s="9">
        <v>9627</v>
      </c>
      <c r="F158" s="9"/>
      <c r="G158" s="9"/>
      <c r="H158" s="9"/>
      <c r="I158" s="9">
        <v>1106</v>
      </c>
      <c r="J158" s="9"/>
      <c r="K158" s="11"/>
      <c r="L158" s="9"/>
      <c r="M158" s="3"/>
      <c r="N158" s="3"/>
    </row>
    <row r="159" spans="1:14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3"/>
      <c r="N159" s="3"/>
    </row>
    <row r="160" spans="1:14">
      <c r="A160" s="41" t="s">
        <v>43</v>
      </c>
      <c r="B160" s="37"/>
      <c r="C160" s="37" t="s">
        <v>983</v>
      </c>
      <c r="D160" s="37"/>
      <c r="E160" s="37" t="s">
        <v>983</v>
      </c>
      <c r="F160" s="37"/>
      <c r="G160" s="37" t="s">
        <v>865</v>
      </c>
      <c r="H160" s="37"/>
      <c r="I160" s="37" t="s">
        <v>1250</v>
      </c>
      <c r="J160" s="38">
        <v>50546</v>
      </c>
      <c r="K160" s="37" t="s">
        <v>44</v>
      </c>
      <c r="L160" s="9"/>
      <c r="M160" s="3"/>
      <c r="N160" s="3"/>
    </row>
    <row r="161" spans="1:14">
      <c r="A161" s="38"/>
      <c r="B161" s="41"/>
      <c r="C161" s="38">
        <v>54307</v>
      </c>
      <c r="D161" s="38"/>
      <c r="E161" s="38">
        <v>8108</v>
      </c>
      <c r="F161" s="38"/>
      <c r="G161" s="38"/>
      <c r="H161" s="38"/>
      <c r="I161" s="38">
        <v>3143</v>
      </c>
      <c r="J161" s="38"/>
      <c r="K161" s="41"/>
      <c r="L161" s="9"/>
      <c r="M161" s="3"/>
      <c r="N161" s="3"/>
    </row>
    <row r="162" spans="1:14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3"/>
      <c r="N162" s="3"/>
    </row>
    <row r="163" spans="1:14">
      <c r="A163" s="11" t="s">
        <v>46</v>
      </c>
      <c r="B163" s="8" t="s">
        <v>984</v>
      </c>
      <c r="C163" s="8" t="s">
        <v>985</v>
      </c>
      <c r="D163" s="8"/>
      <c r="E163" s="8" t="s">
        <v>985</v>
      </c>
      <c r="F163" s="8"/>
      <c r="G163" s="8"/>
      <c r="H163" s="8"/>
      <c r="I163" s="8" t="s">
        <v>1251</v>
      </c>
      <c r="J163" s="9">
        <v>11676</v>
      </c>
      <c r="K163" s="8" t="s">
        <v>419</v>
      </c>
      <c r="L163" s="9"/>
      <c r="M163" s="3"/>
      <c r="N163" s="3"/>
    </row>
    <row r="164" spans="1:14">
      <c r="A164" s="9"/>
      <c r="B164" s="9">
        <v>29172</v>
      </c>
      <c r="C164" s="9">
        <v>71720</v>
      </c>
      <c r="D164" s="9"/>
      <c r="E164" s="9">
        <v>6548</v>
      </c>
      <c r="F164" s="9"/>
      <c r="G164" s="9"/>
      <c r="H164" s="9"/>
      <c r="I164" s="9">
        <v>1533</v>
      </c>
      <c r="J164" s="9"/>
      <c r="K164" s="11"/>
      <c r="L164" s="9"/>
      <c r="M164" s="3"/>
      <c r="N164" s="3"/>
    </row>
    <row r="165" spans="1:14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3"/>
      <c r="N165" s="3"/>
    </row>
    <row r="166" spans="1:14">
      <c r="A166" s="41" t="s">
        <v>48</v>
      </c>
      <c r="B166" s="37" t="s">
        <v>1190</v>
      </c>
      <c r="C166" s="37" t="s">
        <v>986</v>
      </c>
      <c r="D166" s="37"/>
      <c r="E166" s="37" t="s">
        <v>986</v>
      </c>
      <c r="F166" s="37"/>
      <c r="G166" s="37"/>
      <c r="H166" s="37"/>
      <c r="I166" s="37" t="s">
        <v>1252</v>
      </c>
      <c r="J166" s="38">
        <v>15009</v>
      </c>
      <c r="K166" s="37" t="s">
        <v>884</v>
      </c>
      <c r="L166" s="9"/>
      <c r="M166" s="3"/>
      <c r="N166" s="3"/>
    </row>
    <row r="167" spans="1:14">
      <c r="A167" s="38"/>
      <c r="B167" s="38">
        <v>29072</v>
      </c>
      <c r="C167" s="38">
        <v>62682</v>
      </c>
      <c r="D167" s="38"/>
      <c r="E167" s="38">
        <v>8606</v>
      </c>
      <c r="F167" s="38"/>
      <c r="G167" s="38"/>
      <c r="H167" s="38"/>
      <c r="I167" s="38">
        <v>2373</v>
      </c>
      <c r="J167" s="38"/>
      <c r="K167" s="41"/>
      <c r="L167" s="9"/>
      <c r="M167" s="3"/>
      <c r="N167" s="3"/>
    </row>
    <row r="168" spans="1:14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3"/>
      <c r="N168" s="3"/>
    </row>
    <row r="169" spans="1:14">
      <c r="A169" s="11" t="s">
        <v>50</v>
      </c>
      <c r="B169" s="8" t="s">
        <v>865</v>
      </c>
      <c r="C169" s="8" t="s">
        <v>987</v>
      </c>
      <c r="D169" s="8"/>
      <c r="E169" s="8" t="s">
        <v>987</v>
      </c>
      <c r="F169" s="8"/>
      <c r="G169" s="8" t="s">
        <v>1191</v>
      </c>
      <c r="H169" s="8"/>
      <c r="I169" s="8" t="s">
        <v>1253</v>
      </c>
      <c r="J169" s="9">
        <v>41125</v>
      </c>
      <c r="K169" s="8" t="s">
        <v>421</v>
      </c>
      <c r="L169" s="9"/>
      <c r="M169" s="3"/>
      <c r="N169" s="3"/>
    </row>
    <row r="170" spans="1:14">
      <c r="A170" s="9"/>
      <c r="B170" s="11" t="s">
        <v>865</v>
      </c>
      <c r="C170" s="9">
        <v>65253</v>
      </c>
      <c r="D170" s="9"/>
      <c r="E170" s="9">
        <v>11899</v>
      </c>
      <c r="F170" s="9"/>
      <c r="G170" s="9">
        <v>4123</v>
      </c>
      <c r="H170" s="9"/>
      <c r="I170" s="9">
        <v>2904</v>
      </c>
      <c r="J170" s="9"/>
      <c r="K170" s="11"/>
      <c r="L170" s="9"/>
      <c r="M170" s="3"/>
      <c r="N170" s="3"/>
    </row>
    <row r="171" spans="1:14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3"/>
      <c r="N171" s="3"/>
    </row>
    <row r="172" spans="1:14">
      <c r="A172" s="41" t="s">
        <v>51</v>
      </c>
      <c r="B172" s="37" t="s">
        <v>988</v>
      </c>
      <c r="C172" s="37" t="s">
        <v>1192</v>
      </c>
      <c r="D172" s="37"/>
      <c r="E172" s="37" t="s">
        <v>1192</v>
      </c>
      <c r="F172" s="37"/>
      <c r="G172" s="37" t="s">
        <v>870</v>
      </c>
      <c r="H172" s="37"/>
      <c r="I172" s="37"/>
      <c r="J172" s="38">
        <v>20024</v>
      </c>
      <c r="K172" s="37" t="s">
        <v>990</v>
      </c>
      <c r="L172" s="9"/>
      <c r="M172" s="3"/>
      <c r="N172" s="3"/>
    </row>
    <row r="173" spans="1:14">
      <c r="A173" s="38"/>
      <c r="B173" s="38">
        <v>62463</v>
      </c>
      <c r="C173" s="38">
        <v>23428</v>
      </c>
      <c r="D173" s="38"/>
      <c r="E173" s="38">
        <v>4289</v>
      </c>
      <c r="F173" s="38"/>
      <c r="G173" s="41" t="s">
        <v>870</v>
      </c>
      <c r="H173" s="41"/>
      <c r="I173" s="41"/>
      <c r="J173" s="38"/>
      <c r="K173" s="41"/>
      <c r="L173" s="9"/>
      <c r="M173" s="3"/>
      <c r="N173" s="3"/>
    </row>
    <row r="174" spans="1:14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3"/>
      <c r="N174" s="3"/>
    </row>
    <row r="175" spans="1:14">
      <c r="A175" s="11" t="s">
        <v>53</v>
      </c>
      <c r="B175" s="8" t="s">
        <v>1193</v>
      </c>
      <c r="C175" s="8" t="s">
        <v>581</v>
      </c>
      <c r="D175" s="8" t="s">
        <v>1255</v>
      </c>
      <c r="E175" s="8" t="s">
        <v>1194</v>
      </c>
      <c r="F175" s="8"/>
      <c r="G175" s="8" t="s">
        <v>1194</v>
      </c>
      <c r="H175" s="8"/>
      <c r="I175" s="8" t="s">
        <v>1254</v>
      </c>
      <c r="J175" s="9">
        <v>12811</v>
      </c>
      <c r="K175" s="8" t="s">
        <v>584</v>
      </c>
      <c r="L175" s="9"/>
      <c r="M175" s="3"/>
      <c r="N175" s="3"/>
    </row>
    <row r="176" spans="1:14">
      <c r="A176" s="9"/>
      <c r="B176" s="9">
        <v>51627</v>
      </c>
      <c r="C176" s="9">
        <v>69578</v>
      </c>
      <c r="D176" s="9">
        <v>1976</v>
      </c>
      <c r="E176" s="9">
        <v>4599</v>
      </c>
      <c r="F176" s="9"/>
      <c r="G176" s="9">
        <v>1368</v>
      </c>
      <c r="H176" s="9"/>
      <c r="I176" s="9">
        <v>1623</v>
      </c>
      <c r="J176" s="9"/>
      <c r="K176" s="11"/>
      <c r="L176" s="9"/>
      <c r="M176" s="3"/>
      <c r="N176" s="3"/>
    </row>
    <row r="177" spans="1:14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3"/>
      <c r="N177" s="3"/>
    </row>
    <row r="178" spans="1:14">
      <c r="A178" s="41" t="s">
        <v>55</v>
      </c>
      <c r="B178" s="37" t="s">
        <v>1195</v>
      </c>
      <c r="C178" s="37" t="s">
        <v>1196</v>
      </c>
      <c r="D178" s="37"/>
      <c r="E178" s="37" t="s">
        <v>1196</v>
      </c>
      <c r="F178" s="37" t="s">
        <v>870</v>
      </c>
      <c r="G178" s="37"/>
      <c r="H178" s="37"/>
      <c r="I178" s="37" t="s">
        <v>1256</v>
      </c>
      <c r="J178" s="38">
        <v>15456</v>
      </c>
      <c r="K178" s="37" t="s">
        <v>1197</v>
      </c>
      <c r="L178" s="9"/>
      <c r="M178" s="3"/>
      <c r="N178" s="3"/>
    </row>
    <row r="179" spans="1:14">
      <c r="A179" s="38"/>
      <c r="B179" s="40">
        <v>30170</v>
      </c>
      <c r="C179" s="40">
        <v>56988</v>
      </c>
      <c r="D179" s="40"/>
      <c r="E179" s="40">
        <v>8612</v>
      </c>
      <c r="F179" s="38"/>
      <c r="G179" s="38"/>
      <c r="H179" s="38"/>
      <c r="I179" s="38">
        <v>2059</v>
      </c>
      <c r="J179" s="38"/>
      <c r="K179" s="41"/>
      <c r="L179" s="9"/>
      <c r="M179" s="3"/>
      <c r="N179" s="3"/>
    </row>
    <row r="180" spans="1:14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3"/>
      <c r="N180" s="3"/>
    </row>
    <row r="181" spans="1:14">
      <c r="A181" s="11" t="s">
        <v>57</v>
      </c>
      <c r="B181" s="8" t="s">
        <v>1086</v>
      </c>
      <c r="C181" s="8" t="s">
        <v>972</v>
      </c>
      <c r="D181" s="8" t="s">
        <v>1105</v>
      </c>
      <c r="E181" s="8" t="s">
        <v>972</v>
      </c>
      <c r="F181" s="8" t="s">
        <v>1087</v>
      </c>
      <c r="G181" s="8" t="s">
        <v>972</v>
      </c>
      <c r="H181" s="8"/>
      <c r="I181" s="8" t="s">
        <v>1257</v>
      </c>
      <c r="J181" s="9">
        <v>17539</v>
      </c>
      <c r="K181" s="8" t="s">
        <v>1088</v>
      </c>
      <c r="L181" s="9"/>
      <c r="M181" s="3"/>
      <c r="N181" s="3"/>
    </row>
    <row r="182" spans="1:14">
      <c r="A182" s="9"/>
      <c r="B182" s="10">
        <v>60181</v>
      </c>
      <c r="C182" s="10">
        <v>13913</v>
      </c>
      <c r="D182" s="10">
        <v>2070</v>
      </c>
      <c r="E182" s="10">
        <v>1720</v>
      </c>
      <c r="F182" s="9">
        <v>1555</v>
      </c>
      <c r="G182" s="10">
        <v>1640</v>
      </c>
      <c r="H182" s="10"/>
      <c r="I182" s="9">
        <v>383</v>
      </c>
      <c r="J182" s="9"/>
      <c r="K182" s="11"/>
      <c r="L182" s="9"/>
      <c r="M182" s="3"/>
      <c r="N182" s="3"/>
    </row>
    <row r="183" spans="1:14">
      <c r="A183" s="9"/>
      <c r="B183" s="9"/>
      <c r="C183" s="9"/>
      <c r="D183" s="9"/>
      <c r="E183" s="9"/>
      <c r="F183" s="9"/>
      <c r="G183" s="9"/>
      <c r="H183" s="9"/>
      <c r="I183" s="11"/>
      <c r="J183" s="9"/>
      <c r="K183" s="9"/>
      <c r="L183" s="9"/>
      <c r="M183" s="3"/>
      <c r="N183" s="3"/>
    </row>
    <row r="184" spans="1:14">
      <c r="A184" s="41" t="s">
        <v>60</v>
      </c>
      <c r="B184" s="37" t="s">
        <v>666</v>
      </c>
      <c r="C184" s="37" t="s">
        <v>1198</v>
      </c>
      <c r="D184" s="37"/>
      <c r="E184" s="37" t="s">
        <v>666</v>
      </c>
      <c r="F184" s="37" t="s">
        <v>870</v>
      </c>
      <c r="G184" s="37" t="s">
        <v>1199</v>
      </c>
      <c r="H184" s="37"/>
      <c r="I184" s="40" t="s">
        <v>1258</v>
      </c>
      <c r="J184" s="38">
        <v>25076</v>
      </c>
      <c r="K184" s="37" t="s">
        <v>667</v>
      </c>
      <c r="L184" s="9"/>
      <c r="M184" s="3"/>
      <c r="N184" s="3"/>
    </row>
    <row r="185" spans="1:14">
      <c r="A185" s="38"/>
      <c r="B185" s="40">
        <v>65810</v>
      </c>
      <c r="C185" s="38">
        <v>18834</v>
      </c>
      <c r="D185" s="38"/>
      <c r="E185" s="40">
        <v>6935</v>
      </c>
      <c r="F185" s="38"/>
      <c r="G185" s="38">
        <v>2421</v>
      </c>
      <c r="H185" s="38"/>
      <c r="I185" s="38">
        <v>465</v>
      </c>
      <c r="J185" s="38"/>
      <c r="K185" s="41"/>
      <c r="L185" s="9"/>
      <c r="M185" s="3"/>
      <c r="N185" s="3"/>
    </row>
    <row r="186" spans="1:14">
      <c r="A186" s="9"/>
      <c r="B186" s="9"/>
      <c r="C186" s="9"/>
      <c r="D186" s="9"/>
      <c r="E186" s="9"/>
      <c r="F186" s="9"/>
      <c r="G186" s="9"/>
      <c r="H186" s="9"/>
      <c r="I186" s="11"/>
      <c r="J186" s="9"/>
      <c r="K186" s="9"/>
      <c r="L186" s="9"/>
      <c r="M186" s="3"/>
      <c r="N186" s="3"/>
    </row>
    <row r="187" spans="1:14">
      <c r="A187" s="11" t="s">
        <v>61</v>
      </c>
      <c r="B187" s="8" t="s">
        <v>1200</v>
      </c>
      <c r="C187" s="8" t="s">
        <v>670</v>
      </c>
      <c r="D187" s="8"/>
      <c r="E187" s="8" t="s">
        <v>670</v>
      </c>
      <c r="F187" s="8"/>
      <c r="G187" s="8" t="s">
        <v>870</v>
      </c>
      <c r="H187" s="8"/>
      <c r="I187" s="10" t="s">
        <v>1259</v>
      </c>
      <c r="J187" s="9">
        <v>23571</v>
      </c>
      <c r="K187" s="8" t="s">
        <v>672</v>
      </c>
      <c r="L187" s="9"/>
      <c r="M187" s="3"/>
      <c r="N187" s="3"/>
    </row>
    <row r="188" spans="1:14">
      <c r="A188" s="9"/>
      <c r="B188" s="10">
        <v>30200</v>
      </c>
      <c r="C188" s="9">
        <v>68776</v>
      </c>
      <c r="D188" s="9"/>
      <c r="E188" s="10">
        <v>10811</v>
      </c>
      <c r="F188" s="9"/>
      <c r="G188" s="9"/>
      <c r="H188" s="9"/>
      <c r="I188" s="9">
        <v>1576</v>
      </c>
      <c r="J188" s="9"/>
      <c r="K188" s="11"/>
      <c r="L188" s="9"/>
      <c r="M188" s="3"/>
      <c r="N188" s="3"/>
    </row>
    <row r="189" spans="1:14">
      <c r="A189" s="9"/>
      <c r="B189" s="9"/>
      <c r="C189" s="9"/>
      <c r="D189" s="9"/>
      <c r="E189" s="9"/>
      <c r="F189" s="9"/>
      <c r="G189" s="9"/>
      <c r="H189" s="9"/>
      <c r="I189" s="11"/>
      <c r="J189" s="9"/>
      <c r="K189" s="9"/>
      <c r="L189" s="9"/>
      <c r="M189" s="3"/>
      <c r="N189" s="3"/>
    </row>
    <row r="190" spans="1:14">
      <c r="A190" s="41" t="s">
        <v>62</v>
      </c>
      <c r="B190" s="37" t="s">
        <v>1201</v>
      </c>
      <c r="C190" s="37" t="s">
        <v>997</v>
      </c>
      <c r="D190" s="37"/>
      <c r="E190" s="37" t="s">
        <v>997</v>
      </c>
      <c r="F190" s="37"/>
      <c r="G190" s="37" t="s">
        <v>870</v>
      </c>
      <c r="H190" s="37"/>
      <c r="I190" s="40" t="s">
        <v>1260</v>
      </c>
      <c r="J190" s="38">
        <v>22096</v>
      </c>
      <c r="K190" s="37" t="s">
        <v>998</v>
      </c>
      <c r="L190" s="9"/>
      <c r="M190" s="3"/>
      <c r="N190" s="3"/>
    </row>
    <row r="191" spans="1:14">
      <c r="A191" s="38"/>
      <c r="B191" s="40">
        <v>37031</v>
      </c>
      <c r="C191" s="40">
        <v>71469</v>
      </c>
      <c r="D191" s="40"/>
      <c r="E191" s="40">
        <v>9068</v>
      </c>
      <c r="F191" s="38"/>
      <c r="G191" s="38"/>
      <c r="H191" s="38"/>
      <c r="I191" s="40">
        <v>1389</v>
      </c>
      <c r="J191" s="38"/>
      <c r="K191" s="41"/>
      <c r="L191" s="9"/>
      <c r="M191" s="3"/>
      <c r="N191" s="3"/>
    </row>
    <row r="192" spans="1:14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3"/>
      <c r="N192" s="3"/>
    </row>
    <row r="193" spans="1:14">
      <c r="A193" s="11" t="s">
        <v>64</v>
      </c>
      <c r="B193" s="8" t="s">
        <v>1202</v>
      </c>
      <c r="C193" s="8" t="s">
        <v>999</v>
      </c>
      <c r="D193" s="8"/>
      <c r="E193" s="8" t="s">
        <v>999</v>
      </c>
      <c r="F193" s="8" t="s">
        <v>870</v>
      </c>
      <c r="G193" s="8" t="s">
        <v>999</v>
      </c>
      <c r="H193" s="8"/>
      <c r="I193" s="10" t="s">
        <v>1261</v>
      </c>
      <c r="J193" s="9">
        <v>19410</v>
      </c>
      <c r="K193" s="8" t="s">
        <v>507</v>
      </c>
      <c r="L193" s="9"/>
      <c r="M193" s="3"/>
      <c r="N193" s="3"/>
    </row>
    <row r="194" spans="1:14">
      <c r="A194" s="9"/>
      <c r="B194" s="10">
        <v>33494</v>
      </c>
      <c r="C194" s="10">
        <v>61246</v>
      </c>
      <c r="D194" s="10"/>
      <c r="E194" s="10">
        <v>7982</v>
      </c>
      <c r="F194" s="9"/>
      <c r="G194" s="10">
        <v>3561</v>
      </c>
      <c r="H194" s="10"/>
      <c r="I194" s="10">
        <v>1019</v>
      </c>
      <c r="J194" s="9"/>
      <c r="K194" s="9"/>
      <c r="L194" s="9"/>
      <c r="M194" s="3"/>
      <c r="N194" s="3"/>
    </row>
    <row r="195" spans="1:14">
      <c r="A195" s="69"/>
      <c r="B195" s="69"/>
      <c r="C195" s="69" t="s">
        <v>865</v>
      </c>
      <c r="D195" s="69"/>
      <c r="E195" s="69" t="s">
        <v>865</v>
      </c>
      <c r="F195" s="69"/>
      <c r="G195" s="69"/>
      <c r="H195" s="69"/>
      <c r="I195" s="69"/>
      <c r="J195" s="69"/>
      <c r="K195" s="69"/>
      <c r="L195" s="9"/>
      <c r="M195" s="3"/>
      <c r="N195" s="3"/>
    </row>
    <row r="196" spans="1:14">
      <c r="A196" s="11" t="s">
        <v>66</v>
      </c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3"/>
      <c r="N196" s="3"/>
    </row>
    <row r="197" spans="1:14">
      <c r="A197" s="9" t="s">
        <v>1092</v>
      </c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3"/>
      <c r="N197" s="3"/>
    </row>
    <row r="198" spans="1:14">
      <c r="A198" s="9" t="s">
        <v>1203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3"/>
      <c r="N198" s="3"/>
    </row>
    <row r="199" spans="1:14">
      <c r="A199" s="9" t="s">
        <v>1204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3"/>
      <c r="N199" s="3"/>
    </row>
    <row r="200" spans="1:14">
      <c r="A200" s="9" t="s">
        <v>1205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3"/>
      <c r="N200" s="3"/>
    </row>
    <row r="201" spans="1:14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3"/>
      <c r="N201" s="3"/>
    </row>
    <row r="202" spans="1:14">
      <c r="A202" s="72" t="s">
        <v>751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3"/>
      <c r="N202" s="3"/>
    </row>
    <row r="203" spans="1:14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3"/>
      <c r="N203" s="3"/>
    </row>
    <row r="204" spans="1:14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3"/>
      <c r="N204" s="3"/>
    </row>
    <row r="205" spans="1:14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3"/>
      <c r="N205" s="3"/>
    </row>
    <row r="206" spans="1:14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3"/>
      <c r="N206" s="3"/>
    </row>
    <row r="207" spans="1:14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3"/>
      <c r="N207" s="3"/>
    </row>
    <row r="208" spans="1:14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3"/>
      <c r="N208" s="3"/>
    </row>
    <row r="209" spans="1:14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3"/>
      <c r="N209" s="3"/>
    </row>
    <row r="210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</sheetData>
  <hyperlinks>
    <hyperlink ref="A202" r:id="rId1"/>
  </hyperlinks>
  <pageMargins left="0.7" right="0.7" top="0.75" bottom="0.75" header="0.3" footer="0.3"/>
  <pageSetup scale="57" fitToHeight="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0"/>
  <sheetViews>
    <sheetView workbookViewId="0"/>
  </sheetViews>
  <sheetFormatPr defaultColWidth="15.77734375" defaultRowHeight="15.75"/>
  <cols>
    <col min="1" max="1" width="17.77734375" customWidth="1"/>
    <col min="13" max="13" width="20.77734375" customWidth="1"/>
  </cols>
  <sheetData>
    <row r="1" spans="1:16" ht="20.25">
      <c r="A1" s="29" t="s">
        <v>0</v>
      </c>
      <c r="B1" s="5"/>
      <c r="C1" s="5"/>
      <c r="D1" s="5"/>
      <c r="E1" s="5"/>
      <c r="F1" s="5"/>
      <c r="G1" s="5"/>
      <c r="H1" s="5"/>
      <c r="I1" s="5"/>
      <c r="J1" s="5"/>
      <c r="K1" s="4"/>
      <c r="L1" s="3"/>
      <c r="M1" s="3"/>
      <c r="N1" s="3"/>
      <c r="O1" s="3"/>
      <c r="P1" s="3"/>
    </row>
    <row r="2" spans="1:16" ht="20.25">
      <c r="A2" s="30" t="s">
        <v>1279</v>
      </c>
      <c r="B2" s="5"/>
      <c r="C2" s="5"/>
      <c r="D2" s="3"/>
      <c r="E2" s="3"/>
      <c r="F2" s="3"/>
      <c r="G2" s="3"/>
      <c r="H2" s="3"/>
      <c r="I2" s="3"/>
      <c r="J2" s="3"/>
      <c r="K2" s="4"/>
      <c r="L2" s="3"/>
      <c r="M2" s="3"/>
      <c r="N2" s="3"/>
      <c r="O2" s="3"/>
      <c r="P2" s="3"/>
    </row>
    <row r="3" spans="1:1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9.25">
      <c r="A4" s="31" t="s">
        <v>1</v>
      </c>
      <c r="B4" s="32" t="s">
        <v>73</v>
      </c>
      <c r="C4" s="33" t="s">
        <v>2</v>
      </c>
      <c r="D4" s="33" t="s">
        <v>80</v>
      </c>
      <c r="E4" s="33" t="s">
        <v>101</v>
      </c>
      <c r="F4" s="34" t="s">
        <v>196</v>
      </c>
      <c r="G4" s="34" t="s">
        <v>198</v>
      </c>
      <c r="H4" s="34" t="s">
        <v>199</v>
      </c>
      <c r="I4" s="34" t="s">
        <v>200</v>
      </c>
      <c r="J4" s="34" t="s">
        <v>201</v>
      </c>
      <c r="K4" s="33" t="s">
        <v>195</v>
      </c>
      <c r="L4" s="35" t="s">
        <v>348</v>
      </c>
      <c r="M4" s="33" t="s">
        <v>3</v>
      </c>
      <c r="N4" s="3"/>
      <c r="O4" s="3"/>
      <c r="P4" s="3"/>
    </row>
    <row r="5" spans="1:16">
      <c r="A5" s="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3"/>
      <c r="N5" s="3"/>
      <c r="O5" s="3"/>
      <c r="P5" s="3"/>
    </row>
    <row r="6" spans="1:16">
      <c r="A6" s="7" t="s">
        <v>4</v>
      </c>
      <c r="B6" s="8" t="s">
        <v>159</v>
      </c>
      <c r="C6" s="8" t="s">
        <v>113</v>
      </c>
      <c r="D6" s="8" t="s">
        <v>113</v>
      </c>
      <c r="E6" s="8" t="s">
        <v>74</v>
      </c>
      <c r="F6" s="8"/>
      <c r="G6" s="8"/>
      <c r="H6" s="8" t="s">
        <v>74</v>
      </c>
      <c r="I6" s="8"/>
      <c r="J6" s="8"/>
      <c r="K6" s="8"/>
      <c r="L6" s="23">
        <v>13137</v>
      </c>
      <c r="M6" s="8" t="s">
        <v>114</v>
      </c>
      <c r="N6" s="9">
        <f>SUM(B6:L7)</f>
        <v>155706</v>
      </c>
      <c r="O6" s="3"/>
      <c r="P6" s="3"/>
    </row>
    <row r="7" spans="1:16">
      <c r="A7" s="3"/>
      <c r="B7" s="23">
        <v>47813</v>
      </c>
      <c r="C7" s="23">
        <v>78075</v>
      </c>
      <c r="D7" s="23">
        <v>5073</v>
      </c>
      <c r="E7" s="23">
        <v>11092</v>
      </c>
      <c r="F7" s="10"/>
      <c r="G7" s="10"/>
      <c r="H7" s="23">
        <v>516</v>
      </c>
      <c r="I7" s="10"/>
      <c r="J7" s="10"/>
      <c r="K7" s="10"/>
      <c r="L7" s="9"/>
      <c r="M7" s="11"/>
      <c r="N7" s="3"/>
      <c r="O7" s="3"/>
      <c r="P7" s="3"/>
    </row>
    <row r="8" spans="1:16">
      <c r="A8" s="3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3"/>
      <c r="O8" s="3"/>
      <c r="P8" s="3"/>
    </row>
    <row r="9" spans="1:16">
      <c r="A9" s="36" t="s">
        <v>6</v>
      </c>
      <c r="B9" s="37" t="s">
        <v>287</v>
      </c>
      <c r="C9" s="37" t="s">
        <v>81</v>
      </c>
      <c r="D9" s="37" t="s">
        <v>81</v>
      </c>
      <c r="E9" s="37" t="s">
        <v>81</v>
      </c>
      <c r="F9" s="37"/>
      <c r="G9" s="37"/>
      <c r="H9" s="37"/>
      <c r="I9" s="37"/>
      <c r="J9" s="37" t="s">
        <v>349</v>
      </c>
      <c r="K9" s="37"/>
      <c r="L9" s="38">
        <f>13234+190+32</f>
        <v>13456</v>
      </c>
      <c r="M9" s="37" t="s">
        <v>82</v>
      </c>
      <c r="N9" s="9">
        <f>SUM(B9:L10)</f>
        <v>157756</v>
      </c>
      <c r="O9" s="3"/>
      <c r="P9" s="3"/>
    </row>
    <row r="10" spans="1:16">
      <c r="A10" s="39"/>
      <c r="B10" s="43">
        <v>47623</v>
      </c>
      <c r="C10" s="43">
        <v>77309</v>
      </c>
      <c r="D10" s="43">
        <v>3293</v>
      </c>
      <c r="E10" s="43">
        <v>10570</v>
      </c>
      <c r="F10" s="40"/>
      <c r="G10" s="40"/>
      <c r="H10" s="40"/>
      <c r="I10" s="40"/>
      <c r="J10" s="43">
        <v>5505</v>
      </c>
      <c r="K10" s="40"/>
      <c r="L10" s="38"/>
      <c r="M10" s="41"/>
      <c r="N10" s="3"/>
      <c r="O10" s="3"/>
      <c r="P10" s="3"/>
    </row>
    <row r="11" spans="1:16">
      <c r="A11" s="3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3"/>
      <c r="O11" s="3"/>
      <c r="P11" s="3"/>
    </row>
    <row r="12" spans="1:16">
      <c r="A12" s="7" t="s">
        <v>7</v>
      </c>
      <c r="B12" s="8" t="s">
        <v>288</v>
      </c>
      <c r="C12" s="8" t="s">
        <v>289</v>
      </c>
      <c r="D12" s="8" t="s">
        <v>289</v>
      </c>
      <c r="E12" s="8" t="s">
        <v>289</v>
      </c>
      <c r="F12" s="8" t="s">
        <v>288</v>
      </c>
      <c r="G12" s="8" t="s">
        <v>350</v>
      </c>
      <c r="H12" s="8" t="s">
        <v>289</v>
      </c>
      <c r="I12" s="8"/>
      <c r="J12" s="8"/>
      <c r="K12" s="8"/>
      <c r="L12" s="9">
        <f>12085+123+97</f>
        <v>12305</v>
      </c>
      <c r="M12" s="8" t="s">
        <v>290</v>
      </c>
      <c r="N12" s="9">
        <f>SUM(B12:L13)</f>
        <v>125489</v>
      </c>
      <c r="O12" s="3"/>
      <c r="P12" s="3"/>
    </row>
    <row r="13" spans="1:16">
      <c r="A13" s="3"/>
      <c r="B13" s="10">
        <v>43764</v>
      </c>
      <c r="C13" s="10">
        <v>54727</v>
      </c>
      <c r="D13" s="10">
        <v>2462</v>
      </c>
      <c r="E13" s="10">
        <v>8107</v>
      </c>
      <c r="F13" s="10">
        <v>2344</v>
      </c>
      <c r="G13" s="10">
        <v>1363</v>
      </c>
      <c r="H13" s="10">
        <v>417</v>
      </c>
      <c r="I13" s="10"/>
      <c r="J13" s="10"/>
      <c r="K13" s="10"/>
      <c r="L13" s="9"/>
      <c r="M13" s="11"/>
      <c r="N13" s="3"/>
      <c r="O13" s="3"/>
      <c r="P13" s="3"/>
    </row>
    <row r="14" spans="1:16">
      <c r="A14" s="3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3"/>
      <c r="O14" s="3"/>
      <c r="P14" s="3"/>
    </row>
    <row r="15" spans="1:16">
      <c r="A15" s="36" t="s">
        <v>9</v>
      </c>
      <c r="B15" s="37" t="s">
        <v>291</v>
      </c>
      <c r="C15" s="37" t="s">
        <v>136</v>
      </c>
      <c r="D15" s="37" t="s">
        <v>136</v>
      </c>
      <c r="E15" s="37" t="s">
        <v>136</v>
      </c>
      <c r="F15" s="37"/>
      <c r="G15" s="37"/>
      <c r="H15" s="37" t="s">
        <v>136</v>
      </c>
      <c r="I15" s="37"/>
      <c r="J15" s="37"/>
      <c r="K15" s="37"/>
      <c r="L15" s="38">
        <f>15547+27+73</f>
        <v>15647</v>
      </c>
      <c r="M15" s="37" t="s">
        <v>137</v>
      </c>
      <c r="N15" s="9">
        <f>SUM(B15:L16)</f>
        <v>137290</v>
      </c>
      <c r="O15" s="3"/>
      <c r="P15" s="3"/>
    </row>
    <row r="16" spans="1:16">
      <c r="A16" s="39"/>
      <c r="B16" s="40">
        <v>45232</v>
      </c>
      <c r="C16" s="40">
        <v>63490</v>
      </c>
      <c r="D16" s="40">
        <v>3081</v>
      </c>
      <c r="E16" s="40">
        <v>9292</v>
      </c>
      <c r="F16" s="40"/>
      <c r="G16" s="40"/>
      <c r="H16" s="40">
        <v>548</v>
      </c>
      <c r="I16" s="40"/>
      <c r="J16" s="40"/>
      <c r="K16" s="40"/>
      <c r="L16" s="38"/>
      <c r="M16" s="41"/>
      <c r="N16" s="3"/>
      <c r="O16" s="3"/>
      <c r="P16" s="3"/>
    </row>
    <row r="17" spans="1:16">
      <c r="A17" s="3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3"/>
      <c r="O17" s="3"/>
      <c r="P17" s="3"/>
    </row>
    <row r="18" spans="1:16">
      <c r="A18" s="7" t="s">
        <v>11</v>
      </c>
      <c r="B18" s="10" t="s">
        <v>160</v>
      </c>
      <c r="C18" s="10" t="s">
        <v>12</v>
      </c>
      <c r="D18" s="10" t="s">
        <v>12</v>
      </c>
      <c r="E18" s="10" t="s">
        <v>75</v>
      </c>
      <c r="F18" s="10" t="s">
        <v>160</v>
      </c>
      <c r="G18" s="10" t="s">
        <v>160</v>
      </c>
      <c r="H18" s="10" t="s">
        <v>75</v>
      </c>
      <c r="I18" s="10"/>
      <c r="J18" s="10"/>
      <c r="K18" s="10"/>
      <c r="L18" s="10">
        <f>13211+20+63</f>
        <v>13294</v>
      </c>
      <c r="M18" s="10" t="s">
        <v>13</v>
      </c>
      <c r="N18" s="9">
        <f>SUM(B18:L19)</f>
        <v>159583</v>
      </c>
      <c r="O18" s="3"/>
      <c r="P18" s="3"/>
    </row>
    <row r="19" spans="1:16">
      <c r="A19" s="3"/>
      <c r="B19" s="10">
        <v>68888</v>
      </c>
      <c r="C19" s="10">
        <v>64254</v>
      </c>
      <c r="D19" s="10">
        <v>1666</v>
      </c>
      <c r="E19" s="10">
        <v>7736</v>
      </c>
      <c r="F19" s="10">
        <v>2394</v>
      </c>
      <c r="G19" s="10">
        <v>983</v>
      </c>
      <c r="H19" s="10">
        <v>368</v>
      </c>
      <c r="I19" s="10"/>
      <c r="J19" s="10"/>
      <c r="K19" s="9"/>
      <c r="L19" s="9"/>
      <c r="M19" s="9"/>
      <c r="N19" s="3"/>
      <c r="O19" s="3"/>
      <c r="P19" s="3"/>
    </row>
    <row r="20" spans="1:16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9"/>
      <c r="M20" s="9"/>
      <c r="N20" s="3"/>
      <c r="O20" s="3"/>
      <c r="P20" s="3"/>
    </row>
    <row r="21" spans="1:16">
      <c r="A21" s="36" t="s">
        <v>15</v>
      </c>
      <c r="B21" s="40" t="s">
        <v>292</v>
      </c>
      <c r="C21" s="40" t="s">
        <v>16</v>
      </c>
      <c r="D21" s="40" t="s">
        <v>16</v>
      </c>
      <c r="E21" s="40" t="s">
        <v>76</v>
      </c>
      <c r="F21" s="40" t="s">
        <v>292</v>
      </c>
      <c r="G21" s="40" t="s">
        <v>292</v>
      </c>
      <c r="H21" s="40" t="s">
        <v>76</v>
      </c>
      <c r="I21" s="40"/>
      <c r="J21" s="40"/>
      <c r="K21" s="40" t="s">
        <v>294</v>
      </c>
      <c r="L21" s="40">
        <f>12085+155+64</f>
        <v>12304</v>
      </c>
      <c r="M21" s="40" t="s">
        <v>293</v>
      </c>
      <c r="N21" s="9">
        <f>SUM(B21:L22)</f>
        <v>144416</v>
      </c>
      <c r="O21" s="3"/>
      <c r="P21" s="3"/>
    </row>
    <row r="22" spans="1:16">
      <c r="A22" s="39"/>
      <c r="B22" s="40">
        <v>58058</v>
      </c>
      <c r="C22" s="40">
        <v>62279</v>
      </c>
      <c r="D22" s="40">
        <v>1374</v>
      </c>
      <c r="E22" s="40">
        <v>6854</v>
      </c>
      <c r="F22" s="40">
        <v>2070</v>
      </c>
      <c r="G22" s="40">
        <v>810</v>
      </c>
      <c r="H22" s="40">
        <v>277</v>
      </c>
      <c r="I22" s="40"/>
      <c r="J22" s="40"/>
      <c r="K22" s="40">
        <v>390</v>
      </c>
      <c r="L22" s="38"/>
      <c r="M22" s="38"/>
      <c r="N22" s="3"/>
      <c r="O22" s="3"/>
      <c r="P22" s="3"/>
    </row>
    <row r="23" spans="1:16">
      <c r="A23" s="3"/>
      <c r="B23" s="3"/>
      <c r="C23" s="3"/>
      <c r="D23" s="3"/>
      <c r="E23" s="3"/>
      <c r="F23" s="3"/>
      <c r="G23" s="3"/>
      <c r="H23" s="3"/>
      <c r="I23" s="3"/>
      <c r="J23" s="3"/>
      <c r="K23" s="9"/>
      <c r="L23" s="9"/>
      <c r="M23" s="9"/>
      <c r="N23" s="3"/>
      <c r="O23" s="3"/>
      <c r="P23" s="3"/>
    </row>
    <row r="24" spans="1:16">
      <c r="A24" s="12" t="s">
        <v>18</v>
      </c>
      <c r="B24" s="13" t="s">
        <v>295</v>
      </c>
      <c r="C24" s="13" t="s">
        <v>161</v>
      </c>
      <c r="D24" s="13" t="s">
        <v>161</v>
      </c>
      <c r="E24" s="13" t="s">
        <v>161</v>
      </c>
      <c r="F24" s="13" t="s">
        <v>295</v>
      </c>
      <c r="G24" s="13" t="s">
        <v>295</v>
      </c>
      <c r="H24" s="13" t="s">
        <v>161</v>
      </c>
      <c r="I24" s="13"/>
      <c r="J24" s="13"/>
      <c r="K24" s="14"/>
      <c r="L24" s="14">
        <f>11087+140+54</f>
        <v>11281</v>
      </c>
      <c r="M24" s="13" t="s">
        <v>296</v>
      </c>
      <c r="N24" s="9">
        <f>SUM(B24:L25)</f>
        <v>146748</v>
      </c>
      <c r="O24" s="3"/>
      <c r="P24" s="3"/>
    </row>
    <row r="25" spans="1:16">
      <c r="A25" s="15"/>
      <c r="B25" s="14">
        <v>63489</v>
      </c>
      <c r="C25" s="14">
        <v>61616</v>
      </c>
      <c r="D25" s="14">
        <v>1488</v>
      </c>
      <c r="E25" s="14">
        <v>5942</v>
      </c>
      <c r="F25" s="14">
        <v>1754</v>
      </c>
      <c r="G25" s="14">
        <v>786</v>
      </c>
      <c r="H25" s="14">
        <v>392</v>
      </c>
      <c r="I25" s="14"/>
      <c r="J25" s="14"/>
      <c r="K25" s="14"/>
      <c r="L25" s="14"/>
      <c r="M25" s="16"/>
      <c r="N25" s="3"/>
      <c r="O25" s="3"/>
      <c r="P25" s="3"/>
    </row>
    <row r="26" spans="1:16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7"/>
      <c r="M26" s="17"/>
      <c r="N26" s="3"/>
      <c r="O26" s="3"/>
      <c r="P26" s="3"/>
    </row>
    <row r="27" spans="1:16">
      <c r="A27" s="36" t="s">
        <v>21</v>
      </c>
      <c r="B27" s="37" t="s">
        <v>162</v>
      </c>
      <c r="C27" s="37" t="s">
        <v>297</v>
      </c>
      <c r="D27" s="37" t="s">
        <v>297</v>
      </c>
      <c r="E27" s="37" t="s">
        <v>297</v>
      </c>
      <c r="F27" s="37" t="s">
        <v>162</v>
      </c>
      <c r="G27" s="37" t="s">
        <v>162</v>
      </c>
      <c r="H27" s="37" t="s">
        <v>297</v>
      </c>
      <c r="I27" s="37"/>
      <c r="J27" s="37"/>
      <c r="K27" s="37" t="s">
        <v>298</v>
      </c>
      <c r="L27" s="40">
        <f>13795+7+17</f>
        <v>13819</v>
      </c>
      <c r="M27" s="37" t="s">
        <v>163</v>
      </c>
      <c r="N27" s="9">
        <f>SUM(B27:L28)</f>
        <v>150703</v>
      </c>
      <c r="O27" s="3"/>
      <c r="P27" s="3"/>
    </row>
    <row r="28" spans="1:16">
      <c r="A28" s="39"/>
      <c r="B28" s="40">
        <v>65277</v>
      </c>
      <c r="C28" s="40">
        <v>59500</v>
      </c>
      <c r="D28" s="40">
        <v>1437</v>
      </c>
      <c r="E28" s="40">
        <v>6617</v>
      </c>
      <c r="F28" s="40">
        <v>2332</v>
      </c>
      <c r="G28" s="40">
        <v>990</v>
      </c>
      <c r="H28" s="40">
        <v>288</v>
      </c>
      <c r="I28" s="40"/>
      <c r="J28" s="40"/>
      <c r="K28" s="40">
        <v>443</v>
      </c>
      <c r="L28" s="38"/>
      <c r="M28" s="41"/>
      <c r="N28" s="3"/>
      <c r="O28" s="3"/>
      <c r="P28" s="3"/>
    </row>
    <row r="29" spans="1:16">
      <c r="A29" s="3"/>
      <c r="B29" s="3"/>
      <c r="C29" s="3"/>
      <c r="D29" s="3"/>
      <c r="E29" s="3"/>
      <c r="F29" s="3"/>
      <c r="G29" s="3"/>
      <c r="H29" s="3"/>
      <c r="I29" s="3"/>
      <c r="J29" s="3"/>
      <c r="K29" s="9"/>
      <c r="L29" s="9"/>
      <c r="M29" s="9"/>
      <c r="N29" s="3"/>
      <c r="O29" s="3"/>
      <c r="P29" s="3"/>
    </row>
    <row r="30" spans="1:16">
      <c r="A30" s="7" t="s">
        <v>23</v>
      </c>
      <c r="B30" s="8" t="s">
        <v>164</v>
      </c>
      <c r="C30" s="8" t="s">
        <v>299</v>
      </c>
      <c r="D30" s="8" t="s">
        <v>299</v>
      </c>
      <c r="E30" s="8" t="s">
        <v>299</v>
      </c>
      <c r="F30" s="8" t="s">
        <v>164</v>
      </c>
      <c r="G30" s="8" t="s">
        <v>164</v>
      </c>
      <c r="H30" s="8" t="s">
        <v>299</v>
      </c>
      <c r="I30" s="8" t="s">
        <v>351</v>
      </c>
      <c r="J30" s="8"/>
      <c r="K30" s="10" t="s">
        <v>300</v>
      </c>
      <c r="L30" s="10">
        <f>9649+205+49</f>
        <v>9903</v>
      </c>
      <c r="M30" s="8" t="s">
        <v>165</v>
      </c>
      <c r="N30" s="9">
        <f>SUM(B30:L31)</f>
        <v>155520</v>
      </c>
      <c r="O30" s="3"/>
      <c r="P30" s="3"/>
    </row>
    <row r="31" spans="1:16">
      <c r="A31" s="3"/>
      <c r="B31" s="10">
        <v>72246</v>
      </c>
      <c r="C31" s="10">
        <v>61351</v>
      </c>
      <c r="D31" s="10">
        <v>1248</v>
      </c>
      <c r="E31" s="10">
        <v>5627</v>
      </c>
      <c r="F31" s="10">
        <v>2080</v>
      </c>
      <c r="G31" s="10">
        <v>919</v>
      </c>
      <c r="H31" s="10">
        <v>261</v>
      </c>
      <c r="I31" s="10">
        <v>1549</v>
      </c>
      <c r="J31" s="10"/>
      <c r="K31" s="10">
        <v>336</v>
      </c>
      <c r="L31" s="9"/>
      <c r="M31" s="11"/>
      <c r="N31" s="3"/>
      <c r="O31" s="3"/>
      <c r="P31" s="3"/>
    </row>
    <row r="32" spans="1:16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9"/>
      <c r="N32" s="3"/>
      <c r="O32" s="3"/>
      <c r="P32" s="3"/>
    </row>
    <row r="33" spans="1:16">
      <c r="A33" s="36" t="s">
        <v>24</v>
      </c>
      <c r="B33" s="37" t="s">
        <v>147</v>
      </c>
      <c r="C33" s="42"/>
      <c r="D33" s="37"/>
      <c r="E33" s="37"/>
      <c r="F33" s="37" t="s">
        <v>147</v>
      </c>
      <c r="G33" s="37" t="s">
        <v>352</v>
      </c>
      <c r="H33" s="37"/>
      <c r="I33" s="37"/>
      <c r="J33" s="37"/>
      <c r="K33" s="37"/>
      <c r="L33" s="40">
        <f>10039+104</f>
        <v>10143</v>
      </c>
      <c r="M33" s="37" t="s">
        <v>138</v>
      </c>
      <c r="N33" s="9">
        <f>SUM(B33:L34)</f>
        <v>97779</v>
      </c>
      <c r="O33" s="3"/>
      <c r="P33" s="3"/>
    </row>
    <row r="34" spans="1:16">
      <c r="A34" s="39"/>
      <c r="B34" s="40">
        <v>82219</v>
      </c>
      <c r="C34" s="38"/>
      <c r="D34" s="40"/>
      <c r="E34" s="40"/>
      <c r="F34" s="40">
        <v>2363</v>
      </c>
      <c r="G34" s="40">
        <v>3054</v>
      </c>
      <c r="H34" s="40"/>
      <c r="I34" s="40"/>
      <c r="J34" s="40"/>
      <c r="K34" s="40"/>
      <c r="L34" s="38"/>
      <c r="M34" s="41"/>
      <c r="N34" s="3"/>
      <c r="O34" s="3"/>
      <c r="P34" s="3"/>
    </row>
    <row r="35" spans="1:1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9"/>
      <c r="M35" s="9"/>
      <c r="N35" s="3"/>
      <c r="O35" s="3"/>
      <c r="P35" s="3"/>
    </row>
    <row r="36" spans="1:16">
      <c r="A36" s="3" t="s">
        <v>26</v>
      </c>
      <c r="B36" s="10" t="s">
        <v>116</v>
      </c>
      <c r="C36" s="10" t="s">
        <v>301</v>
      </c>
      <c r="D36" s="10"/>
      <c r="E36" s="10" t="s">
        <v>301</v>
      </c>
      <c r="F36" s="10"/>
      <c r="G36" s="10"/>
      <c r="H36" s="10" t="s">
        <v>301</v>
      </c>
      <c r="I36" s="10"/>
      <c r="J36" s="10"/>
      <c r="K36" s="10"/>
      <c r="L36" s="9">
        <f>8576+88</f>
        <v>8664</v>
      </c>
      <c r="M36" s="8" t="s">
        <v>302</v>
      </c>
      <c r="N36" s="9">
        <f>SUM(B36:L37)</f>
        <v>112981</v>
      </c>
      <c r="O36" s="3"/>
      <c r="P36" s="3"/>
    </row>
    <row r="37" spans="1:16">
      <c r="A37" s="7"/>
      <c r="B37" s="11">
        <v>72520</v>
      </c>
      <c r="C37" s="10">
        <v>27575</v>
      </c>
      <c r="D37" s="10"/>
      <c r="E37" s="10">
        <v>3206</v>
      </c>
      <c r="F37" s="10"/>
      <c r="G37" s="10"/>
      <c r="H37" s="10">
        <v>1016</v>
      </c>
      <c r="I37" s="10"/>
      <c r="J37" s="10"/>
      <c r="K37" s="11"/>
      <c r="L37" s="9"/>
      <c r="M37" s="11"/>
      <c r="N37" s="3"/>
      <c r="O37" s="3"/>
      <c r="P37" s="3"/>
    </row>
    <row r="38" spans="1:16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9"/>
      <c r="M38" s="9"/>
      <c r="N38" s="3"/>
      <c r="O38" s="3"/>
      <c r="P38" s="3"/>
    </row>
    <row r="39" spans="1:16">
      <c r="A39" s="39" t="s">
        <v>28</v>
      </c>
      <c r="B39" s="40" t="s">
        <v>117</v>
      </c>
      <c r="C39" s="40" t="s">
        <v>303</v>
      </c>
      <c r="D39" s="40"/>
      <c r="E39" s="40" t="s">
        <v>303</v>
      </c>
      <c r="F39" s="40" t="s">
        <v>117</v>
      </c>
      <c r="G39" s="40"/>
      <c r="H39" s="40"/>
      <c r="I39" s="40"/>
      <c r="J39" s="40"/>
      <c r="K39" s="40"/>
      <c r="L39" s="38">
        <f>9286+117</f>
        <v>9403</v>
      </c>
      <c r="M39" s="37" t="s">
        <v>118</v>
      </c>
      <c r="N39" s="9">
        <f>SUM(B39:L40)</f>
        <v>105140</v>
      </c>
      <c r="O39" s="3"/>
      <c r="P39" s="3"/>
    </row>
    <row r="40" spans="1:16">
      <c r="A40" s="36"/>
      <c r="B40" s="40">
        <v>76080</v>
      </c>
      <c r="C40" s="38">
        <v>11928</v>
      </c>
      <c r="D40" s="40"/>
      <c r="E40" s="40">
        <v>1481</v>
      </c>
      <c r="F40" s="40">
        <v>6248</v>
      </c>
      <c r="G40" s="40"/>
      <c r="H40" s="40"/>
      <c r="I40" s="40"/>
      <c r="J40" s="40"/>
      <c r="K40" s="40"/>
      <c r="L40" s="38"/>
      <c r="M40" s="41"/>
      <c r="N40" s="3"/>
      <c r="O40" s="3"/>
      <c r="P40" s="3"/>
    </row>
    <row r="41" spans="1:16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9"/>
      <c r="N41" s="3"/>
      <c r="O41" s="3"/>
      <c r="P41" s="3"/>
    </row>
    <row r="42" spans="1:16">
      <c r="A42" s="3" t="s">
        <v>29</v>
      </c>
      <c r="B42" s="10" t="s">
        <v>119</v>
      </c>
      <c r="C42" s="10" t="s">
        <v>304</v>
      </c>
      <c r="D42" s="10"/>
      <c r="E42" s="10" t="s">
        <v>304</v>
      </c>
      <c r="F42" s="10" t="s">
        <v>119</v>
      </c>
      <c r="G42" s="10"/>
      <c r="H42" s="10" t="s">
        <v>304</v>
      </c>
      <c r="I42" s="10"/>
      <c r="J42" s="10"/>
      <c r="K42" s="10"/>
      <c r="L42" s="9">
        <f>6333+75</f>
        <v>6408</v>
      </c>
      <c r="M42" s="8" t="s">
        <v>305</v>
      </c>
      <c r="N42" s="9">
        <f>SUM(B42:L43)</f>
        <v>75466</v>
      </c>
      <c r="O42" s="3"/>
      <c r="P42" s="3"/>
    </row>
    <row r="43" spans="1:16">
      <c r="A43" s="7"/>
      <c r="B43" s="10">
        <v>56925</v>
      </c>
      <c r="C43" s="9">
        <v>8007</v>
      </c>
      <c r="D43" s="10"/>
      <c r="E43" s="10">
        <v>891</v>
      </c>
      <c r="F43" s="10">
        <v>2971</v>
      </c>
      <c r="G43" s="10"/>
      <c r="H43" s="10">
        <v>264</v>
      </c>
      <c r="I43" s="10"/>
      <c r="J43" s="10"/>
      <c r="K43" s="10"/>
      <c r="L43" s="9"/>
      <c r="M43" s="11"/>
      <c r="N43" s="3"/>
      <c r="O43" s="3"/>
      <c r="P43" s="3"/>
    </row>
    <row r="44" spans="1:16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9"/>
      <c r="M44" s="11"/>
      <c r="N44" s="3"/>
      <c r="O44" s="3"/>
      <c r="P44" s="3"/>
    </row>
    <row r="45" spans="1:16">
      <c r="A45" s="39" t="s">
        <v>32</v>
      </c>
      <c r="B45" s="37" t="s">
        <v>148</v>
      </c>
      <c r="C45" s="37" t="s">
        <v>306</v>
      </c>
      <c r="D45" s="37"/>
      <c r="E45" s="37"/>
      <c r="F45" s="37" t="s">
        <v>148</v>
      </c>
      <c r="G45" s="37"/>
      <c r="H45" s="37"/>
      <c r="I45" s="37"/>
      <c r="J45" s="37"/>
      <c r="K45" s="37"/>
      <c r="L45" s="38">
        <f>6594+89</f>
        <v>6683</v>
      </c>
      <c r="M45" s="40" t="s">
        <v>149</v>
      </c>
      <c r="N45" s="9">
        <f>SUM(B45:L46)</f>
        <v>112625</v>
      </c>
      <c r="O45" s="3"/>
      <c r="P45" s="3"/>
    </row>
    <row r="46" spans="1:16">
      <c r="A46" s="39"/>
      <c r="B46" s="40">
        <v>95067</v>
      </c>
      <c r="C46" s="38">
        <v>8364</v>
      </c>
      <c r="D46" s="40"/>
      <c r="E46" s="40"/>
      <c r="F46" s="40">
        <v>2511</v>
      </c>
      <c r="G46" s="40"/>
      <c r="H46" s="40"/>
      <c r="I46" s="40"/>
      <c r="J46" s="40"/>
      <c r="K46" s="38"/>
      <c r="L46" s="38"/>
      <c r="M46" s="41"/>
      <c r="N46" s="3"/>
      <c r="O46" s="3"/>
      <c r="P46" s="3"/>
    </row>
    <row r="47" spans="1:16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9"/>
      <c r="M47" s="11"/>
      <c r="N47" s="3"/>
      <c r="O47" s="3"/>
      <c r="P47" s="3"/>
    </row>
    <row r="48" spans="1:16">
      <c r="A48" s="3" t="s">
        <v>33</v>
      </c>
      <c r="B48" s="8" t="s">
        <v>107</v>
      </c>
      <c r="C48" s="8" t="s">
        <v>307</v>
      </c>
      <c r="D48" s="8"/>
      <c r="E48" s="8" t="s">
        <v>307</v>
      </c>
      <c r="F48" s="8"/>
      <c r="G48" s="8" t="s">
        <v>107</v>
      </c>
      <c r="H48" s="8" t="s">
        <v>307</v>
      </c>
      <c r="I48" s="8"/>
      <c r="J48" s="8"/>
      <c r="K48" s="10"/>
      <c r="L48" s="9">
        <f>7378+66</f>
        <v>7444</v>
      </c>
      <c r="M48" s="10" t="s">
        <v>108</v>
      </c>
      <c r="N48" s="9">
        <f>SUM(B48:L49)</f>
        <v>105595</v>
      </c>
      <c r="O48" s="3"/>
      <c r="P48" s="3"/>
    </row>
    <row r="49" spans="1:16">
      <c r="A49" s="3"/>
      <c r="B49" s="9">
        <v>60102</v>
      </c>
      <c r="C49" s="9">
        <v>30829</v>
      </c>
      <c r="D49" s="10"/>
      <c r="E49" s="10">
        <v>4113</v>
      </c>
      <c r="F49" s="10"/>
      <c r="G49" s="10">
        <v>2358</v>
      </c>
      <c r="H49" s="10">
        <v>749</v>
      </c>
      <c r="I49" s="10"/>
      <c r="J49" s="10"/>
      <c r="K49" s="10"/>
      <c r="L49" s="9"/>
      <c r="M49" s="11"/>
      <c r="N49" s="3"/>
      <c r="O49" s="3"/>
      <c r="P49" s="3"/>
    </row>
    <row r="50" spans="1:1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11"/>
      <c r="N50" s="3"/>
      <c r="O50" s="3"/>
      <c r="P50" s="3"/>
    </row>
    <row r="51" spans="1:16">
      <c r="A51" s="36" t="s">
        <v>35</v>
      </c>
      <c r="B51" s="37" t="s">
        <v>36</v>
      </c>
      <c r="C51" s="37" t="s">
        <v>308</v>
      </c>
      <c r="D51" s="37"/>
      <c r="E51" s="37" t="s">
        <v>308</v>
      </c>
      <c r="F51" s="37" t="s">
        <v>120</v>
      </c>
      <c r="G51" s="37" t="s">
        <v>120</v>
      </c>
      <c r="H51" s="37" t="s">
        <v>308</v>
      </c>
      <c r="I51" s="37"/>
      <c r="J51" s="37"/>
      <c r="K51" s="37"/>
      <c r="L51" s="38">
        <f>10615+89</f>
        <v>10704</v>
      </c>
      <c r="M51" s="37" t="s">
        <v>77</v>
      </c>
      <c r="N51" s="9">
        <f>SUM(B51:L52)</f>
        <v>78055</v>
      </c>
      <c r="O51" s="3"/>
      <c r="P51" s="3"/>
    </row>
    <row r="52" spans="1:16">
      <c r="A52" s="39"/>
      <c r="B52" s="40">
        <v>49431</v>
      </c>
      <c r="C52" s="40">
        <v>13092</v>
      </c>
      <c r="D52" s="38"/>
      <c r="E52" s="38">
        <v>1311</v>
      </c>
      <c r="F52" s="38">
        <v>2013</v>
      </c>
      <c r="G52" s="38">
        <v>1051</v>
      </c>
      <c r="H52" s="38">
        <v>453</v>
      </c>
      <c r="I52" s="38"/>
      <c r="J52" s="38"/>
      <c r="K52" s="40"/>
      <c r="L52" s="38"/>
      <c r="M52" s="38"/>
      <c r="N52" s="3"/>
      <c r="O52" s="3"/>
      <c r="P52" s="3"/>
    </row>
    <row r="53" spans="1:16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9"/>
      <c r="M53" s="11"/>
      <c r="N53" s="3"/>
      <c r="O53" s="3"/>
      <c r="P53" s="3"/>
    </row>
    <row r="54" spans="1:16">
      <c r="A54" s="7" t="s">
        <v>38</v>
      </c>
      <c r="B54" s="8" t="s">
        <v>139</v>
      </c>
      <c r="C54" s="8" t="s">
        <v>139</v>
      </c>
      <c r="D54" s="3"/>
      <c r="E54" s="8" t="s">
        <v>139</v>
      </c>
      <c r="F54" s="8"/>
      <c r="G54" s="8"/>
      <c r="H54" s="8"/>
      <c r="I54" s="8"/>
      <c r="J54" s="8"/>
      <c r="K54" s="8"/>
      <c r="L54" s="9">
        <f>8716+575</f>
        <v>9291</v>
      </c>
      <c r="M54" s="8" t="s">
        <v>140</v>
      </c>
      <c r="N54" s="9">
        <f>SUM(B54:L55)</f>
        <v>72293</v>
      </c>
      <c r="O54" s="3"/>
      <c r="P54" s="3"/>
    </row>
    <row r="55" spans="1:16">
      <c r="A55" s="3"/>
      <c r="B55" s="10">
        <v>35432</v>
      </c>
      <c r="C55" s="9">
        <v>23560</v>
      </c>
      <c r="D55" s="3"/>
      <c r="E55" s="10">
        <v>4010</v>
      </c>
      <c r="F55" s="10"/>
      <c r="G55" s="10"/>
      <c r="H55" s="10"/>
      <c r="I55" s="10"/>
      <c r="J55" s="10"/>
      <c r="K55" s="11"/>
      <c r="L55" s="9"/>
      <c r="M55" s="9"/>
      <c r="N55" s="3"/>
      <c r="O55" s="3"/>
      <c r="P55" s="3"/>
    </row>
    <row r="56" spans="1:1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9"/>
      <c r="M56" s="11"/>
      <c r="N56" s="3"/>
      <c r="O56" s="3"/>
      <c r="P56" s="3"/>
    </row>
    <row r="57" spans="1:16">
      <c r="A57" s="36" t="s">
        <v>41</v>
      </c>
      <c r="B57" s="37" t="s">
        <v>309</v>
      </c>
      <c r="C57" s="37"/>
      <c r="D57" s="37" t="s">
        <v>309</v>
      </c>
      <c r="E57" s="37"/>
      <c r="F57" s="37"/>
      <c r="G57" s="37"/>
      <c r="H57" s="37"/>
      <c r="I57" s="37"/>
      <c r="J57" s="37"/>
      <c r="K57" s="37"/>
      <c r="L57" s="38">
        <f>12404+337</f>
        <v>12741</v>
      </c>
      <c r="M57" s="37" t="s">
        <v>310</v>
      </c>
      <c r="N57" s="9">
        <f>SUM(B57:L58)</f>
        <v>100354</v>
      </c>
      <c r="O57" s="3"/>
      <c r="P57" s="3"/>
    </row>
    <row r="58" spans="1:16">
      <c r="A58" s="39"/>
      <c r="B58" s="40">
        <v>84182</v>
      </c>
      <c r="C58" s="40"/>
      <c r="D58" s="38">
        <v>3431</v>
      </c>
      <c r="E58" s="38"/>
      <c r="F58" s="38"/>
      <c r="G58" s="38"/>
      <c r="H58" s="38"/>
      <c r="I58" s="38"/>
      <c r="J58" s="38"/>
      <c r="K58" s="40"/>
      <c r="L58" s="40"/>
      <c r="M58" s="38"/>
      <c r="N58" s="3"/>
      <c r="O58" s="3"/>
      <c r="P58" s="3"/>
    </row>
    <row r="59" spans="1:1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9"/>
      <c r="M59" s="9"/>
      <c r="N59" s="3"/>
      <c r="O59" s="3"/>
      <c r="P59" s="3"/>
    </row>
    <row r="60" spans="1:16">
      <c r="A60" s="3" t="s">
        <v>45</v>
      </c>
      <c r="B60" s="10" t="s">
        <v>166</v>
      </c>
      <c r="C60" s="10"/>
      <c r="D60" s="10"/>
      <c r="E60" s="10"/>
      <c r="F60" s="10" t="s">
        <v>166</v>
      </c>
      <c r="G60" s="10"/>
      <c r="H60" s="10"/>
      <c r="I60" s="10"/>
      <c r="J60" s="10"/>
      <c r="K60" s="10"/>
      <c r="L60" s="9">
        <f>15297+193</f>
        <v>15490</v>
      </c>
      <c r="M60" s="8" t="s">
        <v>167</v>
      </c>
      <c r="N60" s="9">
        <f>SUM(B60:L61)</f>
        <v>105709</v>
      </c>
      <c r="O60" s="3"/>
      <c r="P60" s="3"/>
    </row>
    <row r="61" spans="1:16">
      <c r="A61" s="7"/>
      <c r="B61" s="10">
        <v>86433</v>
      </c>
      <c r="C61" s="9"/>
      <c r="D61" s="10"/>
      <c r="E61" s="10"/>
      <c r="F61" s="10">
        <v>3786</v>
      </c>
      <c r="G61" s="10"/>
      <c r="H61" s="10"/>
      <c r="I61" s="10"/>
      <c r="J61" s="10"/>
      <c r="K61" s="11"/>
      <c r="L61" s="9"/>
      <c r="M61" s="11"/>
      <c r="N61" s="3"/>
      <c r="O61" s="3"/>
      <c r="P61" s="3"/>
    </row>
    <row r="62" spans="1:16">
      <c r="A62" s="3"/>
      <c r="B62" s="3"/>
      <c r="C62" s="3"/>
      <c r="D62" s="3"/>
      <c r="E62" s="3"/>
      <c r="F62" s="3"/>
      <c r="G62" s="3"/>
      <c r="H62" s="3"/>
      <c r="I62" s="3"/>
      <c r="J62" s="3"/>
      <c r="K62" s="9"/>
      <c r="L62" s="9"/>
      <c r="M62" s="9"/>
      <c r="N62" s="3"/>
      <c r="O62" s="3"/>
      <c r="P62" s="3"/>
    </row>
    <row r="63" spans="1:16">
      <c r="A63" s="39" t="s">
        <v>47</v>
      </c>
      <c r="B63" s="40" t="s">
        <v>150</v>
      </c>
      <c r="C63" s="40" t="s">
        <v>311</v>
      </c>
      <c r="D63" s="40" t="s">
        <v>150</v>
      </c>
      <c r="E63" s="40" t="s">
        <v>311</v>
      </c>
      <c r="F63" s="40" t="s">
        <v>150</v>
      </c>
      <c r="G63" s="40"/>
      <c r="H63" s="40"/>
      <c r="I63" s="40"/>
      <c r="J63" s="40"/>
      <c r="K63" s="40"/>
      <c r="L63" s="38">
        <f>6038+112</f>
        <v>6150</v>
      </c>
      <c r="M63" s="37" t="s">
        <v>312</v>
      </c>
      <c r="N63" s="9">
        <f>SUM(B63:L64)</f>
        <v>102128</v>
      </c>
      <c r="O63" s="3"/>
      <c r="P63" s="3"/>
    </row>
    <row r="64" spans="1:16">
      <c r="A64" s="36"/>
      <c r="B64" s="40">
        <v>84081</v>
      </c>
      <c r="C64" s="40">
        <v>4705</v>
      </c>
      <c r="D64" s="40">
        <v>726</v>
      </c>
      <c r="E64" s="40">
        <v>1001</v>
      </c>
      <c r="F64" s="40">
        <v>5465</v>
      </c>
      <c r="G64" s="40"/>
      <c r="H64" s="40"/>
      <c r="I64" s="40"/>
      <c r="J64" s="40"/>
      <c r="K64" s="40"/>
      <c r="L64" s="38"/>
      <c r="M64" s="41"/>
      <c r="N64" s="3"/>
      <c r="O64" s="3"/>
      <c r="P64" s="3"/>
    </row>
    <row r="65" spans="1:16">
      <c r="A65" s="3"/>
      <c r="B65" s="3"/>
      <c r="C65" s="3"/>
      <c r="D65" s="3"/>
      <c r="E65" s="3"/>
      <c r="F65" s="3"/>
      <c r="G65" s="3"/>
      <c r="H65" s="3"/>
      <c r="I65" s="3"/>
      <c r="J65" s="3"/>
      <c r="K65" s="11"/>
      <c r="L65" s="9"/>
      <c r="M65" s="9"/>
      <c r="N65" s="3"/>
      <c r="O65" s="3"/>
      <c r="P65" s="3"/>
    </row>
    <row r="66" spans="1:16">
      <c r="A66" s="3" t="s">
        <v>49</v>
      </c>
      <c r="B66" s="10" t="s">
        <v>83</v>
      </c>
      <c r="C66" s="10"/>
      <c r="D66" s="10"/>
      <c r="E66" s="10" t="s">
        <v>168</v>
      </c>
      <c r="F66" s="10" t="s">
        <v>83</v>
      </c>
      <c r="G66" s="10"/>
      <c r="H66" s="10"/>
      <c r="I66" s="10"/>
      <c r="J66" s="10"/>
      <c r="K66" s="10"/>
      <c r="L66" s="9">
        <f>7813+128</f>
        <v>7941</v>
      </c>
      <c r="M66" s="8" t="s">
        <v>84</v>
      </c>
      <c r="N66" s="9">
        <f>SUM(B66:L67)</f>
        <v>121879</v>
      </c>
      <c r="O66" s="3"/>
      <c r="P66" s="3"/>
    </row>
    <row r="67" spans="1:16">
      <c r="A67" s="7"/>
      <c r="B67" s="10">
        <v>101370</v>
      </c>
      <c r="C67" s="10"/>
      <c r="D67" s="10"/>
      <c r="E67" s="10">
        <v>4256</v>
      </c>
      <c r="F67" s="10">
        <v>8312</v>
      </c>
      <c r="G67" s="10"/>
      <c r="H67" s="10"/>
      <c r="I67" s="10"/>
      <c r="J67" s="10"/>
      <c r="K67" s="10"/>
      <c r="L67" s="9"/>
      <c r="M67" s="11"/>
      <c r="N67" s="3"/>
      <c r="O67" s="3"/>
      <c r="P67" s="3"/>
    </row>
    <row r="68" spans="1:16">
      <c r="A68" s="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11"/>
      <c r="N68" s="3"/>
      <c r="O68" s="3"/>
      <c r="P68" s="3"/>
    </row>
    <row r="69" spans="1:16">
      <c r="A69" s="39" t="s">
        <v>52</v>
      </c>
      <c r="B69" s="37"/>
      <c r="C69" s="37" t="s">
        <v>85</v>
      </c>
      <c r="D69" s="37" t="s">
        <v>85</v>
      </c>
      <c r="E69" s="37" t="s">
        <v>85</v>
      </c>
      <c r="F69" s="37"/>
      <c r="G69" s="37"/>
      <c r="H69" s="37" t="s">
        <v>85</v>
      </c>
      <c r="I69" s="37"/>
      <c r="J69" s="37"/>
      <c r="K69" s="37"/>
      <c r="L69" s="38">
        <f>24636+1054</f>
        <v>25690</v>
      </c>
      <c r="M69" s="40" t="s">
        <v>313</v>
      </c>
      <c r="N69" s="9">
        <f>SUM(B69:L70)</f>
        <v>87723</v>
      </c>
      <c r="O69" s="3"/>
      <c r="P69" s="3"/>
    </row>
    <row r="70" spans="1:16">
      <c r="A70" s="39"/>
      <c r="B70" s="40"/>
      <c r="C70" s="40">
        <v>47491</v>
      </c>
      <c r="D70" s="40">
        <v>6654</v>
      </c>
      <c r="E70" s="40">
        <v>5694</v>
      </c>
      <c r="F70" s="40"/>
      <c r="G70" s="40"/>
      <c r="H70" s="40">
        <v>2194</v>
      </c>
      <c r="I70" s="40"/>
      <c r="J70" s="40"/>
      <c r="K70" s="38"/>
      <c r="L70" s="38"/>
      <c r="M70" s="41"/>
      <c r="N70" s="3"/>
      <c r="O70" s="3"/>
      <c r="P70" s="3"/>
    </row>
    <row r="71" spans="1:1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9"/>
      <c r="M71" s="11"/>
      <c r="N71" s="3"/>
      <c r="O71" s="3"/>
      <c r="P71" s="3"/>
    </row>
    <row r="72" spans="1:16">
      <c r="A72" s="7" t="s">
        <v>54</v>
      </c>
      <c r="B72" s="8" t="s">
        <v>93</v>
      </c>
      <c r="C72" s="8"/>
      <c r="D72" s="8" t="s">
        <v>93</v>
      </c>
      <c r="E72" s="8"/>
      <c r="F72" s="8"/>
      <c r="G72" s="8"/>
      <c r="H72" s="8"/>
      <c r="I72" s="8"/>
      <c r="J72" s="8"/>
      <c r="K72" s="8"/>
      <c r="L72" s="9">
        <f>25192+319</f>
        <v>25511</v>
      </c>
      <c r="M72" s="8" t="s">
        <v>94</v>
      </c>
      <c r="N72" s="9">
        <f>SUM(B72:L73)</f>
        <v>89377</v>
      </c>
      <c r="O72" s="3"/>
      <c r="P72" s="3"/>
    </row>
    <row r="73" spans="1:16">
      <c r="A73" s="3"/>
      <c r="B73" s="10">
        <v>58061</v>
      </c>
      <c r="C73" s="10"/>
      <c r="D73" s="10">
        <v>5805</v>
      </c>
      <c r="E73" s="10"/>
      <c r="F73" s="10"/>
      <c r="G73" s="10"/>
      <c r="H73" s="10"/>
      <c r="I73" s="10"/>
      <c r="J73" s="10"/>
      <c r="K73" s="9"/>
      <c r="L73" s="9"/>
      <c r="M73" s="9"/>
      <c r="N73" s="3"/>
      <c r="O73" s="3"/>
      <c r="P73" s="3"/>
    </row>
    <row r="74" spans="1:1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9"/>
      <c r="M74" s="11"/>
      <c r="N74" s="3"/>
      <c r="O74" s="3"/>
      <c r="P74" s="3"/>
    </row>
    <row r="75" spans="1:16">
      <c r="A75" s="36" t="s">
        <v>56</v>
      </c>
      <c r="B75" s="37"/>
      <c r="C75" s="37" t="s">
        <v>102</v>
      </c>
      <c r="D75" s="37" t="s">
        <v>102</v>
      </c>
      <c r="E75" s="37" t="s">
        <v>102</v>
      </c>
      <c r="F75" s="37"/>
      <c r="G75" s="37"/>
      <c r="H75" s="37" t="s">
        <v>102</v>
      </c>
      <c r="I75" s="37"/>
      <c r="J75" s="37"/>
      <c r="K75" s="37"/>
      <c r="L75" s="38">
        <f>26679+718</f>
        <v>27397</v>
      </c>
      <c r="M75" s="37" t="s">
        <v>103</v>
      </c>
      <c r="N75" s="9">
        <f>SUM(B75:L76)</f>
        <v>134754</v>
      </c>
      <c r="O75" s="3"/>
      <c r="P75" s="3"/>
    </row>
    <row r="76" spans="1:16">
      <c r="A76" s="39"/>
      <c r="B76" s="40"/>
      <c r="C76" s="40">
        <v>88720</v>
      </c>
      <c r="D76" s="40">
        <v>7404</v>
      </c>
      <c r="E76" s="40">
        <v>9522</v>
      </c>
      <c r="F76" s="40"/>
      <c r="G76" s="40"/>
      <c r="H76" s="40">
        <v>1711</v>
      </c>
      <c r="I76" s="40"/>
      <c r="J76" s="40"/>
      <c r="K76" s="38"/>
      <c r="L76" s="38"/>
      <c r="M76" s="38"/>
      <c r="N76" s="3"/>
      <c r="O76" s="3"/>
      <c r="P76" s="3"/>
    </row>
    <row r="77" spans="1:1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>
      <c r="A78" s="7" t="s">
        <v>58</v>
      </c>
      <c r="B78" s="8" t="s">
        <v>121</v>
      </c>
      <c r="C78" s="8" t="s">
        <v>314</v>
      </c>
      <c r="D78" s="8" t="s">
        <v>315</v>
      </c>
      <c r="E78" s="8"/>
      <c r="F78" s="8" t="s">
        <v>121</v>
      </c>
      <c r="G78" s="8"/>
      <c r="H78" s="8"/>
      <c r="I78" s="8"/>
      <c r="J78" s="8"/>
      <c r="K78" s="8"/>
      <c r="L78" s="9">
        <f>7457+110</f>
        <v>7567</v>
      </c>
      <c r="M78" s="8" t="s">
        <v>42</v>
      </c>
      <c r="N78" s="9">
        <f>SUM(B78:L79)</f>
        <v>130653</v>
      </c>
      <c r="O78" s="3"/>
      <c r="P78" s="3"/>
    </row>
    <row r="79" spans="1:16">
      <c r="A79" s="3"/>
      <c r="B79" s="10">
        <v>105945</v>
      </c>
      <c r="C79" s="10">
        <v>3896</v>
      </c>
      <c r="D79" s="10">
        <v>4247</v>
      </c>
      <c r="E79" s="10"/>
      <c r="F79" s="10">
        <v>8998</v>
      </c>
      <c r="G79" s="10"/>
      <c r="H79" s="10"/>
      <c r="I79" s="10"/>
      <c r="J79" s="10"/>
      <c r="K79" s="9"/>
      <c r="L79" s="17"/>
      <c r="M79" s="9"/>
      <c r="N79" s="3"/>
      <c r="O79" s="3"/>
      <c r="P79" s="3"/>
    </row>
    <row r="80" spans="1:1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15"/>
      <c r="M80" s="3"/>
      <c r="N80" s="3"/>
      <c r="O80" s="3"/>
      <c r="P80" s="3"/>
    </row>
    <row r="81" spans="1:16">
      <c r="A81" s="36" t="s">
        <v>59</v>
      </c>
      <c r="B81" s="37" t="s">
        <v>316</v>
      </c>
      <c r="C81" s="37"/>
      <c r="D81" s="37"/>
      <c r="E81" s="37"/>
      <c r="F81" s="37" t="s">
        <v>316</v>
      </c>
      <c r="G81" s="37"/>
      <c r="H81" s="37"/>
      <c r="I81" s="37"/>
      <c r="J81" s="37"/>
      <c r="K81" s="37"/>
      <c r="L81" s="38">
        <f>18619+610</f>
        <v>19229</v>
      </c>
      <c r="M81" s="37" t="s">
        <v>317</v>
      </c>
      <c r="N81" s="9">
        <f>SUM(B81:L82)</f>
        <v>114691</v>
      </c>
      <c r="O81" s="3"/>
      <c r="P81" s="3"/>
    </row>
    <row r="82" spans="1:16">
      <c r="A82" s="39"/>
      <c r="B82" s="40">
        <v>87460</v>
      </c>
      <c r="C82" s="40"/>
      <c r="D82" s="38"/>
      <c r="E82" s="43"/>
      <c r="F82" s="43">
        <v>8002</v>
      </c>
      <c r="G82" s="43"/>
      <c r="H82" s="43"/>
      <c r="I82" s="43"/>
      <c r="J82" s="43"/>
      <c r="K82" s="43"/>
      <c r="L82" s="43"/>
      <c r="M82" s="43"/>
      <c r="N82" s="24"/>
      <c r="O82" s="3"/>
      <c r="P82" s="3"/>
    </row>
    <row r="83" spans="1:16">
      <c r="A83" s="3"/>
      <c r="B83" s="10"/>
      <c r="C83" s="10"/>
      <c r="D83" s="9"/>
      <c r="E83" s="23"/>
      <c r="F83" s="23"/>
      <c r="G83" s="23"/>
      <c r="H83" s="23"/>
      <c r="I83" s="23"/>
      <c r="J83" s="23"/>
      <c r="K83" s="23"/>
      <c r="L83" s="23"/>
      <c r="M83" s="23"/>
      <c r="N83" s="24"/>
      <c r="O83" s="3"/>
      <c r="P83" s="3"/>
    </row>
    <row r="84" spans="1:16" ht="17.25">
      <c r="A84" s="36" t="s">
        <v>362</v>
      </c>
      <c r="B84" s="40" t="s">
        <v>232</v>
      </c>
      <c r="C84" s="40" t="s">
        <v>363</v>
      </c>
      <c r="D84" s="38"/>
      <c r="E84" s="43"/>
      <c r="F84" s="48" t="s">
        <v>232</v>
      </c>
      <c r="G84" s="43"/>
      <c r="H84" s="43"/>
      <c r="I84" s="43"/>
      <c r="J84" s="43"/>
      <c r="K84" s="43"/>
      <c r="L84" s="43">
        <f>6712+186</f>
        <v>6898</v>
      </c>
      <c r="M84" s="48" t="s">
        <v>364</v>
      </c>
      <c r="N84" s="24"/>
      <c r="O84" s="3"/>
      <c r="P84" s="3"/>
    </row>
    <row r="85" spans="1:16">
      <c r="A85" s="39"/>
      <c r="B85" s="40">
        <v>30188</v>
      </c>
      <c r="C85" s="40">
        <v>5915</v>
      </c>
      <c r="D85" s="38"/>
      <c r="E85" s="43"/>
      <c r="F85" s="43">
        <v>4486</v>
      </c>
      <c r="G85" s="43"/>
      <c r="H85" s="43"/>
      <c r="I85" s="43"/>
      <c r="J85" s="43"/>
      <c r="K85" s="43"/>
      <c r="L85" s="43"/>
      <c r="M85" s="43"/>
      <c r="N85" s="24"/>
      <c r="O85" s="3"/>
      <c r="P85" s="3"/>
    </row>
    <row r="86" spans="1:16">
      <c r="A86" s="3"/>
      <c r="B86" s="10"/>
      <c r="C86" s="10"/>
      <c r="D86" s="9"/>
      <c r="E86" s="23"/>
      <c r="F86" s="23"/>
      <c r="G86" s="23"/>
      <c r="H86" s="23"/>
      <c r="I86" s="23"/>
      <c r="J86" s="23"/>
      <c r="K86" s="23"/>
      <c r="L86" s="23"/>
      <c r="M86" s="23"/>
      <c r="N86" s="24"/>
      <c r="O86" s="3"/>
      <c r="P86" s="3"/>
    </row>
    <row r="87" spans="1:16">
      <c r="A87" s="7" t="s">
        <v>63</v>
      </c>
      <c r="B87" s="8" t="s">
        <v>141</v>
      </c>
      <c r="C87" s="8"/>
      <c r="D87" s="8"/>
      <c r="E87" s="8"/>
      <c r="F87" s="8" t="s">
        <v>141</v>
      </c>
      <c r="G87" s="8"/>
      <c r="H87" s="8"/>
      <c r="I87" s="8"/>
      <c r="J87" s="8"/>
      <c r="K87" s="8" t="s">
        <v>318</v>
      </c>
      <c r="L87" s="17">
        <f>19278+387</f>
        <v>19665</v>
      </c>
      <c r="M87" s="8" t="s">
        <v>142</v>
      </c>
      <c r="N87" s="9">
        <f>SUM(B87:L88)</f>
        <v>143353</v>
      </c>
      <c r="O87" s="3"/>
      <c r="P87" s="3"/>
    </row>
    <row r="88" spans="1:16">
      <c r="A88" s="3"/>
      <c r="B88" s="10">
        <v>110400</v>
      </c>
      <c r="C88" s="9"/>
      <c r="D88" s="9"/>
      <c r="E88" s="9"/>
      <c r="F88" s="9">
        <v>7971</v>
      </c>
      <c r="G88" s="9"/>
      <c r="H88" s="9"/>
      <c r="I88" s="9"/>
      <c r="J88" s="9"/>
      <c r="K88" s="11">
        <v>5317</v>
      </c>
      <c r="L88" s="17"/>
      <c r="M88" s="9"/>
      <c r="N88" s="3"/>
      <c r="O88" s="3"/>
      <c r="P88" s="3"/>
    </row>
    <row r="89" spans="1:1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17"/>
      <c r="M89" s="11"/>
      <c r="N89" s="3"/>
      <c r="O89" s="3"/>
      <c r="P89" s="3"/>
    </row>
    <row r="90" spans="1:16">
      <c r="A90" s="36" t="s">
        <v>65</v>
      </c>
      <c r="B90" s="37" t="s">
        <v>78</v>
      </c>
      <c r="C90" s="37" t="s">
        <v>319</v>
      </c>
      <c r="D90" s="37" t="s">
        <v>319</v>
      </c>
      <c r="E90" s="37"/>
      <c r="F90" s="37" t="s">
        <v>78</v>
      </c>
      <c r="G90" s="37" t="s">
        <v>319</v>
      </c>
      <c r="H90" s="37"/>
      <c r="I90" s="37"/>
      <c r="J90" s="37" t="s">
        <v>319</v>
      </c>
      <c r="K90" s="40"/>
      <c r="L90" s="38">
        <f>7831+77</f>
        <v>7908</v>
      </c>
      <c r="M90" s="37" t="s">
        <v>79</v>
      </c>
      <c r="N90" s="9">
        <f>SUM(B90:L93)</f>
        <v>142813</v>
      </c>
      <c r="O90" s="3"/>
      <c r="P90" s="3"/>
    </row>
    <row r="91" spans="1:16">
      <c r="A91" s="39"/>
      <c r="B91" s="40">
        <v>97885</v>
      </c>
      <c r="C91" s="38">
        <v>31612</v>
      </c>
      <c r="D91" s="40">
        <v>989</v>
      </c>
      <c r="E91" s="40"/>
      <c r="F91" s="40">
        <v>3232</v>
      </c>
      <c r="G91" s="40">
        <v>279</v>
      </c>
      <c r="H91" s="40"/>
      <c r="I91" s="40"/>
      <c r="J91" s="40">
        <v>908</v>
      </c>
      <c r="K91" s="40"/>
      <c r="L91" s="38"/>
      <c r="M91" s="38"/>
      <c r="N91" s="3"/>
      <c r="O91" s="3"/>
      <c r="P91" s="3"/>
    </row>
    <row r="92" spans="1:16">
      <c r="A92" s="3"/>
      <c r="B92" s="10"/>
      <c r="C92" s="9"/>
      <c r="D92" s="10"/>
      <c r="E92" s="10"/>
      <c r="F92" s="10"/>
      <c r="G92" s="10"/>
      <c r="H92" s="10"/>
      <c r="I92" s="10"/>
      <c r="J92" s="10"/>
      <c r="K92" s="10"/>
      <c r="L92" s="17"/>
      <c r="M92" s="9"/>
      <c r="N92" s="3"/>
      <c r="O92" s="3"/>
      <c r="P92" s="3"/>
    </row>
    <row r="93" spans="1:16">
      <c r="A93" s="3"/>
      <c r="B93" s="10"/>
      <c r="C93" s="9"/>
      <c r="D93" s="10"/>
      <c r="E93" s="10"/>
      <c r="F93" s="10"/>
      <c r="G93" s="10"/>
      <c r="H93" s="10"/>
      <c r="I93" s="10"/>
      <c r="J93" s="10"/>
      <c r="K93" s="10"/>
      <c r="L93" s="17"/>
      <c r="M93" s="9"/>
      <c r="N93" s="3"/>
      <c r="O93" s="3"/>
      <c r="P93" s="3"/>
    </row>
    <row r="94" spans="1:1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17"/>
      <c r="M94" s="11"/>
      <c r="N94" s="3"/>
      <c r="O94" s="3"/>
      <c r="P94" s="3"/>
    </row>
    <row r="95" spans="1:16">
      <c r="A95" s="3" t="s">
        <v>67</v>
      </c>
      <c r="B95" s="10" t="s">
        <v>95</v>
      </c>
      <c r="C95" s="10" t="s">
        <v>169</v>
      </c>
      <c r="D95" s="10"/>
      <c r="E95" s="10" t="s">
        <v>320</v>
      </c>
      <c r="F95" s="10"/>
      <c r="G95" s="10"/>
      <c r="H95" s="10"/>
      <c r="I95" s="10"/>
      <c r="J95" s="10"/>
      <c r="K95" s="10"/>
      <c r="L95" s="17">
        <f>7313+57</f>
        <v>7370</v>
      </c>
      <c r="M95" s="8" t="s">
        <v>109</v>
      </c>
      <c r="N95" s="9">
        <f>SUM(B95:L96)</f>
        <v>71474</v>
      </c>
      <c r="O95" s="3"/>
      <c r="P95" s="3"/>
    </row>
    <row r="96" spans="1:16">
      <c r="A96" s="3"/>
      <c r="B96" s="10">
        <v>56194</v>
      </c>
      <c r="C96" s="9">
        <v>6158</v>
      </c>
      <c r="D96" s="9"/>
      <c r="E96" s="9">
        <v>1752</v>
      </c>
      <c r="F96" s="9"/>
      <c r="G96" s="9"/>
      <c r="H96" s="9"/>
      <c r="I96" s="9"/>
      <c r="J96" s="9"/>
      <c r="K96" s="9"/>
      <c r="L96" s="17"/>
      <c r="M96" s="9"/>
      <c r="N96" s="3"/>
      <c r="O96" s="3"/>
      <c r="P96" s="3"/>
    </row>
    <row r="97" spans="1:1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17"/>
      <c r="M97" s="9"/>
      <c r="N97" s="3"/>
      <c r="O97" s="3"/>
      <c r="P97" s="3"/>
    </row>
    <row r="98" spans="1:16">
      <c r="A98" s="39" t="s">
        <v>68</v>
      </c>
      <c r="B98" s="40" t="s">
        <v>321</v>
      </c>
      <c r="C98" s="40" t="s">
        <v>322</v>
      </c>
      <c r="D98" s="40"/>
      <c r="E98" s="40"/>
      <c r="F98" s="40" t="s">
        <v>321</v>
      </c>
      <c r="G98" s="40"/>
      <c r="H98" s="40"/>
      <c r="I98" s="40"/>
      <c r="J98" s="40"/>
      <c r="K98" s="40"/>
      <c r="L98" s="38">
        <f>10225+134</f>
        <v>10359</v>
      </c>
      <c r="M98" s="40" t="s">
        <v>323</v>
      </c>
      <c r="N98" s="9">
        <f>SUM(B98:L99)</f>
        <v>129122</v>
      </c>
      <c r="O98" s="3"/>
      <c r="P98" s="3"/>
    </row>
    <row r="99" spans="1:16">
      <c r="A99" s="39"/>
      <c r="B99" s="40">
        <v>107425</v>
      </c>
      <c r="C99" s="38">
        <v>5619</v>
      </c>
      <c r="D99" s="40"/>
      <c r="E99" s="40"/>
      <c r="F99" s="40">
        <v>5719</v>
      </c>
      <c r="G99" s="40"/>
      <c r="H99" s="40"/>
      <c r="I99" s="40"/>
      <c r="J99" s="40"/>
      <c r="K99" s="38"/>
      <c r="L99" s="38"/>
      <c r="M99" s="38"/>
      <c r="N99" s="3"/>
      <c r="O99" s="3"/>
      <c r="P99" s="3"/>
    </row>
    <row r="100" spans="1:16" s="68" customFormat="1">
      <c r="A100" s="39"/>
      <c r="B100" s="40"/>
      <c r="C100" s="38"/>
      <c r="D100" s="40"/>
      <c r="E100" s="40"/>
      <c r="F100" s="40"/>
      <c r="G100" s="40"/>
      <c r="H100" s="40"/>
      <c r="I100" s="40"/>
      <c r="J100" s="40"/>
      <c r="K100" s="38"/>
      <c r="L100" s="38"/>
      <c r="M100" s="38"/>
      <c r="N100" s="3"/>
      <c r="O100" s="3"/>
      <c r="P100" s="3"/>
    </row>
    <row r="101" spans="1:16" s="68" customFormat="1" ht="17.25">
      <c r="A101" s="39" t="s">
        <v>1263</v>
      </c>
      <c r="B101" s="40" t="s">
        <v>238</v>
      </c>
      <c r="C101" s="40" t="s">
        <v>1264</v>
      </c>
      <c r="D101" s="40"/>
      <c r="E101" s="40"/>
      <c r="F101" s="40"/>
      <c r="G101" s="40"/>
      <c r="H101" s="40" t="s">
        <v>1265</v>
      </c>
      <c r="I101" s="40"/>
      <c r="J101" s="40"/>
      <c r="K101" s="40"/>
      <c r="L101" s="40">
        <f>46+309</f>
        <v>355</v>
      </c>
      <c r="M101" s="40" t="s">
        <v>1266</v>
      </c>
      <c r="N101" s="9">
        <f>SUM(B101:L102)</f>
        <v>8938</v>
      </c>
      <c r="O101" s="3"/>
      <c r="P101" s="3"/>
    </row>
    <row r="102" spans="1:16" s="68" customFormat="1">
      <c r="A102" s="39"/>
      <c r="B102" s="40">
        <v>8106</v>
      </c>
      <c r="C102" s="38">
        <v>287</v>
      </c>
      <c r="D102" s="40"/>
      <c r="E102" s="40"/>
      <c r="F102" s="40"/>
      <c r="G102" s="40"/>
      <c r="H102" s="40">
        <v>190</v>
      </c>
      <c r="I102" s="40"/>
      <c r="J102" s="40"/>
      <c r="K102" s="38"/>
      <c r="L102" s="38"/>
      <c r="M102" s="38"/>
      <c r="N102" s="3"/>
      <c r="O102" s="3"/>
      <c r="P102" s="3"/>
    </row>
    <row r="103" spans="1:1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11"/>
      <c r="L103" s="17"/>
      <c r="M103" s="9"/>
      <c r="N103" s="3"/>
      <c r="O103" s="3"/>
      <c r="P103" s="3"/>
    </row>
    <row r="104" spans="1:16">
      <c r="A104" s="3" t="s">
        <v>69</v>
      </c>
      <c r="B104" s="10" t="s">
        <v>170</v>
      </c>
      <c r="C104" s="10" t="s">
        <v>171</v>
      </c>
      <c r="D104" s="10"/>
      <c r="E104" s="10" t="s">
        <v>324</v>
      </c>
      <c r="F104" s="10"/>
      <c r="G104" s="10"/>
      <c r="H104" s="10"/>
      <c r="I104" s="10" t="s">
        <v>353</v>
      </c>
      <c r="J104" s="10"/>
      <c r="K104" s="10"/>
      <c r="L104" s="17">
        <f>12152+339</f>
        <v>12491</v>
      </c>
      <c r="M104" s="10" t="s">
        <v>325</v>
      </c>
      <c r="N104" s="9">
        <f>SUM(B104:L105)</f>
        <v>126942</v>
      </c>
      <c r="O104" s="3"/>
      <c r="P104" s="3"/>
    </row>
    <row r="105" spans="1:16">
      <c r="A105" s="3"/>
      <c r="B105" s="10">
        <v>97964</v>
      </c>
      <c r="C105" s="10">
        <v>8719</v>
      </c>
      <c r="D105" s="10"/>
      <c r="E105" s="10">
        <v>1368</v>
      </c>
      <c r="F105" s="10"/>
      <c r="G105" s="10"/>
      <c r="H105" s="10"/>
      <c r="I105" s="10">
        <v>6400</v>
      </c>
      <c r="J105" s="10"/>
      <c r="K105" s="9"/>
      <c r="L105" s="17"/>
      <c r="M105" s="9"/>
      <c r="N105" s="3"/>
      <c r="O105" s="3"/>
      <c r="P105" s="3"/>
    </row>
    <row r="106" spans="1:1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9"/>
      <c r="L106" s="17"/>
      <c r="M106" s="9"/>
      <c r="N106" s="3"/>
      <c r="O106" s="3"/>
      <c r="P106" s="3"/>
    </row>
    <row r="107" spans="1:16">
      <c r="A107" s="39" t="s">
        <v>70</v>
      </c>
      <c r="B107" s="40" t="s">
        <v>326</v>
      </c>
      <c r="C107" s="40"/>
      <c r="D107" s="40"/>
      <c r="E107" s="40" t="s">
        <v>172</v>
      </c>
      <c r="F107" s="40"/>
      <c r="G107" s="40"/>
      <c r="H107" s="40"/>
      <c r="I107" s="40"/>
      <c r="J107" s="40"/>
      <c r="K107" s="40"/>
      <c r="L107" s="38">
        <f>10424+114</f>
        <v>10538</v>
      </c>
      <c r="M107" s="40" t="s">
        <v>327</v>
      </c>
      <c r="N107" s="9">
        <f>SUM(B107:L108)</f>
        <v>92404</v>
      </c>
      <c r="O107" s="3"/>
      <c r="P107" s="3"/>
    </row>
    <row r="108" spans="1:16">
      <c r="A108" s="39"/>
      <c r="B108" s="40">
        <v>79574</v>
      </c>
      <c r="C108" s="40"/>
      <c r="D108" s="40"/>
      <c r="E108" s="40">
        <v>2292</v>
      </c>
      <c r="F108" s="40"/>
      <c r="G108" s="40"/>
      <c r="H108" s="40"/>
      <c r="I108" s="40"/>
      <c r="J108" s="40"/>
      <c r="K108" s="38"/>
      <c r="L108" s="38"/>
      <c r="M108" s="38"/>
      <c r="N108" s="3"/>
      <c r="O108" s="3"/>
      <c r="P108" s="3"/>
    </row>
    <row r="109" spans="1:16" s="68" customFormat="1">
      <c r="A109" s="39"/>
      <c r="B109" s="40"/>
      <c r="C109" s="40"/>
      <c r="D109" s="40"/>
      <c r="E109" s="40"/>
      <c r="F109" s="40"/>
      <c r="G109" s="40"/>
      <c r="H109" s="40"/>
      <c r="I109" s="40"/>
      <c r="J109" s="40"/>
      <c r="K109" s="38"/>
      <c r="L109" s="38"/>
      <c r="M109" s="38"/>
      <c r="N109" s="3"/>
      <c r="O109" s="3"/>
      <c r="P109" s="3"/>
    </row>
    <row r="110" spans="1:16" s="68" customFormat="1" ht="17.25">
      <c r="A110" s="39" t="s">
        <v>1267</v>
      </c>
      <c r="B110" s="40" t="s">
        <v>242</v>
      </c>
      <c r="C110" s="40" t="s">
        <v>243</v>
      </c>
      <c r="D110" s="40"/>
      <c r="E110" s="40"/>
      <c r="F110" s="40"/>
      <c r="G110" s="40"/>
      <c r="H110" s="40" t="s">
        <v>244</v>
      </c>
      <c r="I110" s="40"/>
      <c r="J110" s="40"/>
      <c r="K110" s="38"/>
      <c r="L110" s="38">
        <f>93+11</f>
        <v>104</v>
      </c>
      <c r="M110" s="40" t="s">
        <v>245</v>
      </c>
      <c r="N110" s="9">
        <f>SUM(B110:L111)</f>
        <v>3743</v>
      </c>
      <c r="O110" s="3"/>
      <c r="P110" s="3"/>
    </row>
    <row r="111" spans="1:16" s="68" customFormat="1">
      <c r="A111" s="39"/>
      <c r="B111" s="40">
        <v>3263</v>
      </c>
      <c r="C111" s="40">
        <v>105</v>
      </c>
      <c r="D111" s="40"/>
      <c r="E111" s="40"/>
      <c r="F111" s="40"/>
      <c r="G111" s="40"/>
      <c r="H111" s="40">
        <v>271</v>
      </c>
      <c r="I111" s="40"/>
      <c r="J111" s="40"/>
      <c r="K111" s="38"/>
      <c r="L111" s="38"/>
      <c r="M111" s="38"/>
      <c r="N111" s="3"/>
      <c r="O111" s="3"/>
      <c r="P111" s="3"/>
    </row>
    <row r="112" spans="1:1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17"/>
      <c r="M112" s="9"/>
      <c r="N112" s="3"/>
      <c r="O112" s="3"/>
      <c r="P112" s="3"/>
    </row>
    <row r="113" spans="1:16">
      <c r="A113" s="3" t="s">
        <v>71</v>
      </c>
      <c r="B113" s="10" t="s">
        <v>122</v>
      </c>
      <c r="C113" s="10"/>
      <c r="D113" s="10"/>
      <c r="E113" s="10" t="s">
        <v>151</v>
      </c>
      <c r="F113" s="10" t="s">
        <v>122</v>
      </c>
      <c r="G113" s="10"/>
      <c r="H113" s="10"/>
      <c r="I113" s="10"/>
      <c r="J113" s="10"/>
      <c r="K113" s="10"/>
      <c r="L113" s="17">
        <f>14141+55</f>
        <v>14196</v>
      </c>
      <c r="M113" s="10" t="s">
        <v>123</v>
      </c>
      <c r="N113" s="9">
        <f>SUM(B113:L114)</f>
        <v>77489</v>
      </c>
      <c r="O113" s="3"/>
      <c r="P113" s="3"/>
    </row>
    <row r="114" spans="1:16">
      <c r="A114" s="3"/>
      <c r="B114" s="10">
        <v>60230</v>
      </c>
      <c r="C114" s="10"/>
      <c r="D114" s="10"/>
      <c r="E114" s="10">
        <v>1340</v>
      </c>
      <c r="F114" s="10">
        <v>1723</v>
      </c>
      <c r="G114" s="10"/>
      <c r="H114" s="10"/>
      <c r="I114" s="10"/>
      <c r="J114" s="10"/>
      <c r="K114" s="9"/>
      <c r="L114" s="17"/>
      <c r="M114" s="9"/>
      <c r="N114" s="3"/>
      <c r="O114" s="3"/>
      <c r="P114" s="3"/>
    </row>
    <row r="115" spans="1:1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15"/>
      <c r="M115" s="3"/>
      <c r="N115" s="3"/>
      <c r="O115" s="3"/>
      <c r="P115" s="3"/>
    </row>
    <row r="116" spans="1:16">
      <c r="A116" s="44" t="s">
        <v>5</v>
      </c>
      <c r="B116" s="37" t="s">
        <v>96</v>
      </c>
      <c r="C116" s="37"/>
      <c r="D116" s="37" t="s">
        <v>96</v>
      </c>
      <c r="E116" s="37" t="s">
        <v>328</v>
      </c>
      <c r="F116" s="37"/>
      <c r="G116" s="37" t="s">
        <v>96</v>
      </c>
      <c r="H116" s="37"/>
      <c r="I116" s="37" t="s">
        <v>354</v>
      </c>
      <c r="J116" s="37"/>
      <c r="K116" s="37"/>
      <c r="L116" s="38">
        <f>15858+110</f>
        <v>15968</v>
      </c>
      <c r="M116" s="37" t="s">
        <v>329</v>
      </c>
      <c r="N116" s="9">
        <f>SUM(B116:L117)</f>
        <v>105732</v>
      </c>
      <c r="O116" s="3"/>
      <c r="P116" s="3"/>
    </row>
    <row r="117" spans="1:16">
      <c r="A117" s="38"/>
      <c r="B117" s="38">
        <v>76099</v>
      </c>
      <c r="C117" s="40"/>
      <c r="D117" s="40">
        <v>2204</v>
      </c>
      <c r="E117" s="40">
        <v>6080</v>
      </c>
      <c r="F117" s="40"/>
      <c r="G117" s="40">
        <v>2695</v>
      </c>
      <c r="H117" s="40"/>
      <c r="I117" s="40">
        <v>2686</v>
      </c>
      <c r="J117" s="40"/>
      <c r="K117" s="40"/>
      <c r="L117" s="38"/>
      <c r="M117" s="41"/>
      <c r="N117" s="3"/>
      <c r="O117" s="3"/>
      <c r="P117" s="3"/>
    </row>
    <row r="118" spans="1:16">
      <c r="A118" s="9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17"/>
      <c r="M118" s="9"/>
      <c r="N118" s="3"/>
      <c r="O118" s="3"/>
      <c r="P118" s="3"/>
    </row>
    <row r="119" spans="1:16">
      <c r="A119" s="25" t="s">
        <v>104</v>
      </c>
      <c r="B119" s="8" t="s">
        <v>97</v>
      </c>
      <c r="C119" s="8"/>
      <c r="D119" s="8" t="s">
        <v>97</v>
      </c>
      <c r="E119" s="8"/>
      <c r="F119" s="8" t="s">
        <v>97</v>
      </c>
      <c r="G119" s="8" t="s">
        <v>97</v>
      </c>
      <c r="H119" s="8"/>
      <c r="I119" s="8"/>
      <c r="J119" s="8"/>
      <c r="K119" s="8"/>
      <c r="L119" s="14">
        <f>29889+440</f>
        <v>30329</v>
      </c>
      <c r="M119" s="8" t="s">
        <v>105</v>
      </c>
      <c r="N119" s="9">
        <f>SUM(B119:L120)</f>
        <v>125193</v>
      </c>
      <c r="O119" s="3"/>
      <c r="P119" s="3"/>
    </row>
    <row r="120" spans="1:16">
      <c r="A120" s="9"/>
      <c r="B120" s="17">
        <v>87271</v>
      </c>
      <c r="C120" s="14"/>
      <c r="D120" s="14">
        <v>2178</v>
      </c>
      <c r="E120" s="14"/>
      <c r="F120" s="14">
        <v>4216</v>
      </c>
      <c r="G120" s="14">
        <v>1199</v>
      </c>
      <c r="H120" s="14"/>
      <c r="I120" s="14"/>
      <c r="J120" s="14"/>
      <c r="K120" s="14"/>
      <c r="L120" s="17"/>
      <c r="M120" s="11"/>
      <c r="N120" s="3"/>
      <c r="O120" s="3"/>
      <c r="P120" s="3"/>
    </row>
    <row r="121" spans="1:16">
      <c r="A121" s="9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17"/>
      <c r="M121" s="9"/>
      <c r="N121" s="3"/>
      <c r="O121" s="3"/>
      <c r="P121" s="3"/>
    </row>
    <row r="122" spans="1:16">
      <c r="A122" s="41" t="s">
        <v>8</v>
      </c>
      <c r="B122" s="37" t="s">
        <v>173</v>
      </c>
      <c r="C122" s="37"/>
      <c r="D122" s="37"/>
      <c r="E122" s="37" t="s">
        <v>124</v>
      </c>
      <c r="F122" s="37" t="s">
        <v>173</v>
      </c>
      <c r="G122" s="37"/>
      <c r="H122" s="37"/>
      <c r="I122" s="37"/>
      <c r="J122" s="37"/>
      <c r="K122" s="37"/>
      <c r="L122" s="38">
        <f>13680+72</f>
        <v>13752</v>
      </c>
      <c r="M122" s="37" t="s">
        <v>174</v>
      </c>
      <c r="N122" s="9">
        <f>SUM(B122:L123)</f>
        <v>104441</v>
      </c>
      <c r="O122" s="3"/>
      <c r="P122" s="3"/>
    </row>
    <row r="123" spans="1:16">
      <c r="A123" s="38"/>
      <c r="B123" s="38">
        <v>85907</v>
      </c>
      <c r="C123" s="38"/>
      <c r="D123" s="38"/>
      <c r="E123" s="38">
        <v>2456</v>
      </c>
      <c r="F123" s="38">
        <v>2326</v>
      </c>
      <c r="G123" s="38"/>
      <c r="H123" s="38"/>
      <c r="I123" s="38"/>
      <c r="J123" s="38"/>
      <c r="K123" s="38"/>
      <c r="L123" s="38"/>
      <c r="M123" s="41"/>
      <c r="N123" s="3"/>
      <c r="O123" s="3"/>
      <c r="P123" s="3"/>
    </row>
    <row r="124" spans="1:16">
      <c r="A124" s="9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15"/>
      <c r="M124" s="9"/>
      <c r="N124" s="3"/>
      <c r="O124" s="3"/>
      <c r="P124" s="3"/>
    </row>
    <row r="125" spans="1:16">
      <c r="A125" s="11" t="s">
        <v>10</v>
      </c>
      <c r="B125" s="8" t="s">
        <v>330</v>
      </c>
      <c r="C125" s="8" t="s">
        <v>331</v>
      </c>
      <c r="D125" s="8" t="s">
        <v>331</v>
      </c>
      <c r="E125" s="8" t="s">
        <v>331</v>
      </c>
      <c r="F125" s="8" t="s">
        <v>330</v>
      </c>
      <c r="G125" s="8" t="s">
        <v>330</v>
      </c>
      <c r="H125" s="8" t="s">
        <v>331</v>
      </c>
      <c r="I125" s="8"/>
      <c r="J125" s="8"/>
      <c r="K125" s="8"/>
      <c r="L125" s="14">
        <f>11138+119</f>
        <v>11257</v>
      </c>
      <c r="M125" s="8" t="s">
        <v>332</v>
      </c>
      <c r="N125" s="9">
        <f>SUM(B125:L126)</f>
        <v>142537</v>
      </c>
      <c r="O125" s="3"/>
      <c r="P125" s="3"/>
    </row>
    <row r="126" spans="1:16">
      <c r="A126" s="9"/>
      <c r="B126" s="10">
        <v>69420</v>
      </c>
      <c r="C126" s="9">
        <v>50713</v>
      </c>
      <c r="D126" s="9">
        <v>1809</v>
      </c>
      <c r="E126" s="9">
        <v>5216</v>
      </c>
      <c r="F126" s="9">
        <v>2815</v>
      </c>
      <c r="G126" s="9">
        <v>881</v>
      </c>
      <c r="H126" s="9">
        <v>426</v>
      </c>
      <c r="I126" s="9"/>
      <c r="J126" s="9"/>
      <c r="K126" s="9"/>
      <c r="L126" s="17"/>
      <c r="M126" s="11"/>
      <c r="N126" s="3"/>
      <c r="O126" s="3"/>
      <c r="P126" s="3"/>
    </row>
    <row r="127" spans="1:16" s="68" customFormat="1">
      <c r="A127" s="9"/>
      <c r="B127" s="10"/>
      <c r="C127" s="9"/>
      <c r="D127" s="9"/>
      <c r="E127" s="9"/>
      <c r="F127" s="9"/>
      <c r="G127" s="9"/>
      <c r="H127" s="9"/>
      <c r="I127" s="9"/>
      <c r="J127" s="9"/>
      <c r="K127" s="9"/>
      <c r="L127" s="17"/>
      <c r="M127" s="11"/>
      <c r="N127" s="3"/>
      <c r="O127" s="3"/>
      <c r="P127" s="3"/>
    </row>
    <row r="128" spans="1:16" s="68" customFormat="1" ht="17.25">
      <c r="A128" s="11" t="s">
        <v>1268</v>
      </c>
      <c r="B128" s="10" t="s">
        <v>251</v>
      </c>
      <c r="C128" s="10" t="s">
        <v>331</v>
      </c>
      <c r="D128" s="10"/>
      <c r="E128" s="10" t="s">
        <v>331</v>
      </c>
      <c r="F128" s="10" t="s">
        <v>251</v>
      </c>
      <c r="G128" s="10" t="s">
        <v>251</v>
      </c>
      <c r="H128" s="10" t="s">
        <v>331</v>
      </c>
      <c r="I128" s="10"/>
      <c r="J128" s="10"/>
      <c r="K128" s="10"/>
      <c r="L128" s="17">
        <f>152+28</f>
        <v>180</v>
      </c>
      <c r="M128" s="8" t="s">
        <v>1262</v>
      </c>
      <c r="N128" s="9">
        <f>SUM(B128:L129)</f>
        <v>49414</v>
      </c>
      <c r="O128" s="3"/>
      <c r="P128" s="3"/>
    </row>
    <row r="129" spans="1:16" s="68" customFormat="1">
      <c r="A129" s="9"/>
      <c r="B129" s="10">
        <v>26829</v>
      </c>
      <c r="C129" s="9">
        <v>17600</v>
      </c>
      <c r="D129" s="9"/>
      <c r="E129" s="9">
        <v>2872</v>
      </c>
      <c r="F129" s="9">
        <v>1066</v>
      </c>
      <c r="G129" s="9">
        <v>463</v>
      </c>
      <c r="H129" s="9">
        <v>404</v>
      </c>
      <c r="I129" s="9"/>
      <c r="J129" s="9"/>
      <c r="K129" s="9"/>
      <c r="L129" s="17"/>
      <c r="M129" s="11"/>
      <c r="N129" s="3"/>
      <c r="O129" s="3"/>
      <c r="P129" s="3"/>
    </row>
    <row r="130" spans="1:16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17"/>
      <c r="M130" s="9"/>
      <c r="N130" s="3"/>
      <c r="O130" s="3"/>
      <c r="P130" s="3"/>
    </row>
    <row r="131" spans="1:16">
      <c r="A131" s="41" t="s">
        <v>14</v>
      </c>
      <c r="B131" s="37" t="s">
        <v>125</v>
      </c>
      <c r="C131" s="37" t="s">
        <v>333</v>
      </c>
      <c r="D131" s="37" t="s">
        <v>125</v>
      </c>
      <c r="E131" s="37" t="s">
        <v>333</v>
      </c>
      <c r="F131" s="37"/>
      <c r="G131" s="37" t="s">
        <v>125</v>
      </c>
      <c r="H131" s="37" t="s">
        <v>333</v>
      </c>
      <c r="I131" s="37"/>
      <c r="J131" s="37"/>
      <c r="K131" s="37"/>
      <c r="L131" s="38">
        <f>12373+148+93</f>
        <v>12614</v>
      </c>
      <c r="M131" s="37" t="s">
        <v>143</v>
      </c>
      <c r="N131" s="9">
        <f>SUM(B131:L132)</f>
        <v>131543</v>
      </c>
      <c r="O131" s="3"/>
      <c r="P131" s="3"/>
    </row>
    <row r="132" spans="1:16">
      <c r="A132" s="38"/>
      <c r="B132" s="38">
        <v>72717</v>
      </c>
      <c r="C132" s="38">
        <v>32792</v>
      </c>
      <c r="D132" s="38">
        <v>3286</v>
      </c>
      <c r="E132" s="38">
        <v>4850</v>
      </c>
      <c r="F132" s="38"/>
      <c r="G132" s="38">
        <v>1314</v>
      </c>
      <c r="H132" s="38">
        <v>3970</v>
      </c>
      <c r="I132" s="38"/>
      <c r="J132" s="38"/>
      <c r="K132" s="38"/>
      <c r="L132" s="38"/>
      <c r="M132" s="41"/>
      <c r="N132" s="3"/>
      <c r="O132" s="3"/>
      <c r="P132" s="3"/>
    </row>
    <row r="133" spans="1:16">
      <c r="A133" s="9"/>
      <c r="B133" s="3"/>
      <c r="C133" s="3"/>
      <c r="D133" s="3"/>
      <c r="E133" s="3"/>
      <c r="F133" s="3"/>
      <c r="G133" s="3"/>
      <c r="H133" s="3"/>
      <c r="I133" s="3"/>
      <c r="J133" s="3"/>
      <c r="K133" s="9"/>
      <c r="L133" s="17"/>
      <c r="M133" s="9"/>
      <c r="N133" s="3"/>
      <c r="O133" s="3"/>
      <c r="P133" s="3"/>
    </row>
    <row r="134" spans="1:16">
      <c r="A134" s="11" t="s">
        <v>17</v>
      </c>
      <c r="B134" s="8" t="s">
        <v>334</v>
      </c>
      <c r="C134" s="8" t="s">
        <v>335</v>
      </c>
      <c r="D134" s="8" t="s">
        <v>336</v>
      </c>
      <c r="E134" s="8" t="s">
        <v>336</v>
      </c>
      <c r="F134" s="8" t="s">
        <v>334</v>
      </c>
      <c r="G134" s="8" t="s">
        <v>334</v>
      </c>
      <c r="H134" s="8" t="s">
        <v>336</v>
      </c>
      <c r="I134" s="8"/>
      <c r="J134" s="8"/>
      <c r="K134" s="8"/>
      <c r="L134" s="17">
        <f>10588+23+51</f>
        <v>10662</v>
      </c>
      <c r="M134" s="8" t="s">
        <v>337</v>
      </c>
      <c r="N134" s="9">
        <f>SUM(B134:L135)</f>
        <v>123076</v>
      </c>
      <c r="O134" s="3"/>
      <c r="P134" s="3"/>
    </row>
    <row r="135" spans="1:16">
      <c r="A135" s="9"/>
      <c r="B135" s="9">
        <v>43804</v>
      </c>
      <c r="C135" s="9">
        <v>50898</v>
      </c>
      <c r="D135" s="9">
        <v>1137</v>
      </c>
      <c r="E135" s="9">
        <v>6899</v>
      </c>
      <c r="F135" s="9">
        <v>2875</v>
      </c>
      <c r="G135" s="9">
        <v>6307</v>
      </c>
      <c r="H135" s="9">
        <v>494</v>
      </c>
      <c r="I135" s="9"/>
      <c r="J135" s="9"/>
      <c r="K135" s="11"/>
      <c r="L135" s="17"/>
      <c r="M135" s="11"/>
      <c r="N135" s="3"/>
      <c r="O135" s="3"/>
      <c r="P135" s="3"/>
    </row>
    <row r="136" spans="1:16">
      <c r="A136" s="9"/>
      <c r="B136" s="3"/>
      <c r="C136" s="3"/>
      <c r="D136" s="3"/>
      <c r="E136" s="3"/>
      <c r="F136" s="3"/>
      <c r="G136" s="3"/>
      <c r="H136" s="3"/>
      <c r="I136" s="3"/>
      <c r="J136" s="3"/>
      <c r="K136" s="9"/>
      <c r="L136" s="17"/>
      <c r="M136" s="9"/>
      <c r="N136" s="3"/>
      <c r="O136" s="3"/>
      <c r="P136" s="3"/>
    </row>
    <row r="137" spans="1:16">
      <c r="A137" s="41" t="s">
        <v>19</v>
      </c>
      <c r="B137" s="37" t="s">
        <v>338</v>
      </c>
      <c r="C137" s="37" t="s">
        <v>152</v>
      </c>
      <c r="D137" s="37" t="s">
        <v>152</v>
      </c>
      <c r="E137" s="37" t="s">
        <v>152</v>
      </c>
      <c r="F137" s="37" t="s">
        <v>338</v>
      </c>
      <c r="G137" s="37"/>
      <c r="H137" s="37" t="s">
        <v>152</v>
      </c>
      <c r="I137" s="37"/>
      <c r="J137" s="37"/>
      <c r="K137" s="37"/>
      <c r="L137" s="40">
        <f>10129+4+45</f>
        <v>10178</v>
      </c>
      <c r="M137" s="37" t="s">
        <v>339</v>
      </c>
      <c r="N137" s="9">
        <f>SUM(B137:L138)</f>
        <v>149227</v>
      </c>
      <c r="O137" s="3"/>
      <c r="P137" s="3"/>
    </row>
    <row r="138" spans="1:16">
      <c r="A138" s="38"/>
      <c r="B138" s="38">
        <v>55706</v>
      </c>
      <c r="C138" s="38">
        <v>68393</v>
      </c>
      <c r="D138" s="38">
        <v>3406</v>
      </c>
      <c r="E138" s="38">
        <v>8053</v>
      </c>
      <c r="F138" s="38">
        <v>3031</v>
      </c>
      <c r="G138" s="38"/>
      <c r="H138" s="38">
        <v>460</v>
      </c>
      <c r="I138" s="38"/>
      <c r="J138" s="38"/>
      <c r="K138" s="41"/>
      <c r="L138" s="38"/>
      <c r="M138" s="41"/>
      <c r="N138" s="3"/>
      <c r="O138" s="3"/>
      <c r="P138" s="3"/>
    </row>
    <row r="139" spans="1:16">
      <c r="A139" s="9"/>
      <c r="B139" s="3"/>
      <c r="C139" s="3"/>
      <c r="D139" s="3"/>
      <c r="E139" s="3"/>
      <c r="F139" s="3"/>
      <c r="G139" s="3"/>
      <c r="H139" s="3"/>
      <c r="I139" s="3"/>
      <c r="J139" s="3"/>
      <c r="K139" s="9"/>
      <c r="L139" s="9"/>
      <c r="M139" s="9"/>
      <c r="N139" s="3"/>
      <c r="O139" s="3"/>
      <c r="P139" s="3"/>
    </row>
    <row r="140" spans="1:16">
      <c r="A140" s="11" t="s">
        <v>20</v>
      </c>
      <c r="B140" s="8" t="s">
        <v>340</v>
      </c>
      <c r="C140" s="8" t="s">
        <v>153</v>
      </c>
      <c r="D140" s="8" t="s">
        <v>153</v>
      </c>
      <c r="E140" s="8" t="s">
        <v>153</v>
      </c>
      <c r="F140" s="8" t="s">
        <v>340</v>
      </c>
      <c r="G140" s="8" t="s">
        <v>340</v>
      </c>
      <c r="H140" s="8" t="s">
        <v>153</v>
      </c>
      <c r="I140" s="8" t="s">
        <v>340</v>
      </c>
      <c r="J140" s="8"/>
      <c r="K140" s="8"/>
      <c r="L140" s="10">
        <f>8322+114+53</f>
        <v>8489</v>
      </c>
      <c r="M140" s="8" t="s">
        <v>154</v>
      </c>
      <c r="N140" s="9">
        <f>SUM(B140:L141)</f>
        <v>140047</v>
      </c>
      <c r="O140" s="3"/>
      <c r="P140" s="3"/>
    </row>
    <row r="141" spans="1:16">
      <c r="A141" s="9"/>
      <c r="B141" s="9">
        <v>52719</v>
      </c>
      <c r="C141" s="9">
        <v>60088</v>
      </c>
      <c r="D141" s="9">
        <v>3354</v>
      </c>
      <c r="E141" s="9">
        <v>9001</v>
      </c>
      <c r="F141" s="9">
        <v>3561</v>
      </c>
      <c r="G141" s="9">
        <v>802</v>
      </c>
      <c r="H141" s="9">
        <v>499</v>
      </c>
      <c r="I141" s="9">
        <v>1534</v>
      </c>
      <c r="J141" s="9"/>
      <c r="K141" s="9"/>
      <c r="L141" s="9"/>
      <c r="M141" s="11"/>
      <c r="N141" s="3"/>
      <c r="O141" s="3"/>
      <c r="P141" s="3"/>
    </row>
    <row r="142" spans="1:16">
      <c r="A142" s="9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9"/>
      <c r="M142" s="9"/>
      <c r="N142" s="3"/>
      <c r="O142" s="3"/>
      <c r="P142" s="3"/>
    </row>
    <row r="143" spans="1:16">
      <c r="A143" s="41" t="s">
        <v>22</v>
      </c>
      <c r="B143" s="37" t="s">
        <v>341</v>
      </c>
      <c r="C143" s="37" t="s">
        <v>342</v>
      </c>
      <c r="D143" s="37" t="s">
        <v>342</v>
      </c>
      <c r="E143" s="37" t="s">
        <v>342</v>
      </c>
      <c r="F143" s="37"/>
      <c r="G143" s="37"/>
      <c r="H143" s="37" t="s">
        <v>342</v>
      </c>
      <c r="I143" s="37"/>
      <c r="J143" s="37"/>
      <c r="K143" s="37"/>
      <c r="L143" s="40">
        <f>12092+55+75</f>
        <v>12222</v>
      </c>
      <c r="M143" s="37" t="s">
        <v>343</v>
      </c>
      <c r="N143" s="9">
        <f>SUM(B143:L144)</f>
        <v>123478</v>
      </c>
      <c r="O143" s="3"/>
      <c r="P143" s="3"/>
    </row>
    <row r="144" spans="1:16">
      <c r="A144" s="38"/>
      <c r="B144" s="40">
        <v>43209</v>
      </c>
      <c r="C144" s="38">
        <v>55983</v>
      </c>
      <c r="D144" s="38">
        <v>3927</v>
      </c>
      <c r="E144" s="38">
        <v>7718</v>
      </c>
      <c r="F144" s="38"/>
      <c r="G144" s="38"/>
      <c r="H144" s="38">
        <v>419</v>
      </c>
      <c r="I144" s="38"/>
      <c r="J144" s="38"/>
      <c r="K144" s="38"/>
      <c r="L144" s="38"/>
      <c r="M144" s="41"/>
      <c r="N144" s="3"/>
      <c r="O144" s="3"/>
      <c r="P144" s="3"/>
    </row>
    <row r="145" spans="1:16">
      <c r="A145" s="9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9"/>
      <c r="M145" s="9"/>
      <c r="N145" s="3"/>
      <c r="O145" s="3"/>
      <c r="P145" s="3"/>
    </row>
    <row r="146" spans="1:16">
      <c r="A146" s="11" t="s">
        <v>25</v>
      </c>
      <c r="B146" s="8" t="s">
        <v>344</v>
      </c>
      <c r="C146" s="8" t="s">
        <v>345</v>
      </c>
      <c r="D146" s="8" t="s">
        <v>345</v>
      </c>
      <c r="E146" s="8" t="s">
        <v>345</v>
      </c>
      <c r="F146" s="8" t="s">
        <v>344</v>
      </c>
      <c r="G146" s="8"/>
      <c r="H146" s="8" t="s">
        <v>345</v>
      </c>
      <c r="I146" s="8" t="s">
        <v>355</v>
      </c>
      <c r="J146" s="8"/>
      <c r="K146" s="8"/>
      <c r="L146" s="9">
        <f>9901+22+64</f>
        <v>9987</v>
      </c>
      <c r="M146" s="8" t="s">
        <v>346</v>
      </c>
      <c r="N146" s="9">
        <f>SUM(B146:L147)</f>
        <v>149034</v>
      </c>
      <c r="O146" s="3"/>
      <c r="P146" s="3"/>
    </row>
    <row r="147" spans="1:16">
      <c r="A147" s="9"/>
      <c r="B147" s="10">
        <v>46626</v>
      </c>
      <c r="C147" s="9">
        <v>68172</v>
      </c>
      <c r="D147" s="9">
        <v>6080</v>
      </c>
      <c r="E147" s="9">
        <v>10304</v>
      </c>
      <c r="F147" s="9">
        <v>4034</v>
      </c>
      <c r="G147" s="9"/>
      <c r="H147" s="9">
        <v>501</v>
      </c>
      <c r="I147" s="9">
        <v>3330</v>
      </c>
      <c r="J147" s="9"/>
      <c r="K147" s="9"/>
      <c r="L147" s="9"/>
      <c r="M147" s="11"/>
      <c r="N147" s="3"/>
      <c r="O147" s="3"/>
      <c r="P147" s="3"/>
    </row>
    <row r="148" spans="1:16">
      <c r="A148" s="9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9"/>
      <c r="M148" s="9"/>
      <c r="N148" s="3"/>
      <c r="O148" s="3"/>
      <c r="P148" s="3"/>
    </row>
    <row r="149" spans="1:16">
      <c r="A149" s="41" t="s">
        <v>27</v>
      </c>
      <c r="B149" s="37" t="s">
        <v>72</v>
      </c>
      <c r="C149" s="37" t="s">
        <v>175</v>
      </c>
      <c r="D149" s="37" t="s">
        <v>72</v>
      </c>
      <c r="E149" s="37" t="s">
        <v>175</v>
      </c>
      <c r="F149" s="37" t="s">
        <v>72</v>
      </c>
      <c r="G149" s="37"/>
      <c r="H149" s="37" t="s">
        <v>175</v>
      </c>
      <c r="I149" s="37" t="s">
        <v>356</v>
      </c>
      <c r="J149" s="37"/>
      <c r="K149" s="37"/>
      <c r="L149" s="38">
        <f>9006+97+99</f>
        <v>9202</v>
      </c>
      <c r="M149" s="37" t="s">
        <v>92</v>
      </c>
      <c r="N149" s="9">
        <f>SUM(B149:L150)</f>
        <v>122603</v>
      </c>
      <c r="O149" s="3"/>
      <c r="P149" s="3"/>
    </row>
    <row r="150" spans="1:16">
      <c r="A150" s="38"/>
      <c r="B150" s="38">
        <v>69801</v>
      </c>
      <c r="C150" s="38">
        <v>27719</v>
      </c>
      <c r="D150" s="38">
        <v>3672</v>
      </c>
      <c r="E150" s="38">
        <v>4477</v>
      </c>
      <c r="F150" s="38">
        <v>4336</v>
      </c>
      <c r="G150" s="38"/>
      <c r="H150" s="38">
        <v>898</v>
      </c>
      <c r="I150" s="38">
        <v>2498</v>
      </c>
      <c r="J150" s="38"/>
      <c r="K150" s="38"/>
      <c r="L150" s="38"/>
      <c r="M150" s="41"/>
      <c r="N150" s="3"/>
      <c r="O150" s="3"/>
      <c r="P150" s="3"/>
    </row>
    <row r="151" spans="1:16">
      <c r="A151" s="9"/>
      <c r="B151" s="3"/>
      <c r="C151" s="3"/>
      <c r="D151" s="3"/>
      <c r="E151" s="3"/>
      <c r="F151" s="3"/>
      <c r="G151" s="3"/>
      <c r="H151" s="3"/>
      <c r="I151" s="3"/>
      <c r="J151" s="3"/>
      <c r="K151" s="9"/>
      <c r="L151" s="9"/>
      <c r="M151" s="9"/>
      <c r="N151" s="3"/>
      <c r="O151" s="3"/>
      <c r="P151" s="3"/>
    </row>
    <row r="152" spans="1:16">
      <c r="A152" s="11" t="s">
        <v>30</v>
      </c>
      <c r="B152" s="8"/>
      <c r="C152" s="8" t="s">
        <v>86</v>
      </c>
      <c r="D152" s="8" t="s">
        <v>86</v>
      </c>
      <c r="E152" s="8" t="s">
        <v>86</v>
      </c>
      <c r="F152" s="8"/>
      <c r="G152" s="8"/>
      <c r="H152" s="8"/>
      <c r="I152" s="8" t="s">
        <v>357</v>
      </c>
      <c r="J152" s="8"/>
      <c r="K152" s="8"/>
      <c r="L152" s="9">
        <f>20730+14+70</f>
        <v>20814</v>
      </c>
      <c r="M152" s="8" t="s">
        <v>99</v>
      </c>
      <c r="N152" s="9">
        <f>SUM(B152:L153)</f>
        <v>126084</v>
      </c>
      <c r="O152" s="3"/>
      <c r="P152" s="3"/>
    </row>
    <row r="153" spans="1:16">
      <c r="A153" s="9"/>
      <c r="B153" s="11"/>
      <c r="C153" s="9">
        <v>76016</v>
      </c>
      <c r="D153" s="9">
        <v>8733</v>
      </c>
      <c r="E153" s="9">
        <v>7968</v>
      </c>
      <c r="F153" s="9"/>
      <c r="G153" s="9"/>
      <c r="H153" s="9"/>
      <c r="I153" s="9">
        <v>12553</v>
      </c>
      <c r="J153" s="9"/>
      <c r="K153" s="9"/>
      <c r="L153" s="9"/>
      <c r="M153" s="11"/>
      <c r="N153" s="3"/>
      <c r="O153" s="3"/>
      <c r="P153" s="3"/>
    </row>
    <row r="154" spans="1:16">
      <c r="A154" s="9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9"/>
      <c r="N154" s="3"/>
      <c r="O154" s="3"/>
      <c r="P154" s="3"/>
    </row>
    <row r="155" spans="1:16">
      <c r="A155" s="41" t="s">
        <v>31</v>
      </c>
      <c r="B155" s="37" t="s">
        <v>347</v>
      </c>
      <c r="C155" s="37" t="s">
        <v>144</v>
      </c>
      <c r="D155" s="37" t="s">
        <v>144</v>
      </c>
      <c r="E155" s="42" t="s">
        <v>144</v>
      </c>
      <c r="F155" s="42" t="s">
        <v>347</v>
      </c>
      <c r="G155" s="42" t="s">
        <v>358</v>
      </c>
      <c r="H155" s="42" t="s">
        <v>144</v>
      </c>
      <c r="I155" s="42" t="s">
        <v>144</v>
      </c>
      <c r="J155" s="42"/>
      <c r="K155" s="37"/>
      <c r="L155" s="38">
        <f>6830+116+68</f>
        <v>7014</v>
      </c>
      <c r="M155" s="37" t="s">
        <v>145</v>
      </c>
      <c r="N155" s="9">
        <f>SUM(B155:L156)</f>
        <v>139970</v>
      </c>
      <c r="O155" s="3"/>
      <c r="P155" s="3"/>
    </row>
    <row r="156" spans="1:16">
      <c r="A156" s="38"/>
      <c r="B156" s="38">
        <v>43196</v>
      </c>
      <c r="C156" s="38">
        <v>67159</v>
      </c>
      <c r="D156" s="38">
        <v>4385</v>
      </c>
      <c r="E156" s="38">
        <v>10490</v>
      </c>
      <c r="F156" s="38">
        <v>4530</v>
      </c>
      <c r="G156" s="38">
        <v>1260</v>
      </c>
      <c r="H156" s="38">
        <v>477</v>
      </c>
      <c r="I156" s="38">
        <v>1459</v>
      </c>
      <c r="J156" s="38"/>
      <c r="K156" s="38"/>
      <c r="L156" s="38"/>
      <c r="M156" s="41"/>
      <c r="N156" s="3"/>
      <c r="O156" s="3"/>
      <c r="P156" s="3"/>
    </row>
    <row r="157" spans="1:16">
      <c r="A157" s="9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9"/>
      <c r="M157" s="9"/>
      <c r="N157" s="3"/>
      <c r="O157" s="3"/>
      <c r="P157" s="3"/>
    </row>
    <row r="158" spans="1:16">
      <c r="A158" s="11" t="s">
        <v>34</v>
      </c>
      <c r="B158" s="8"/>
      <c r="C158" s="8" t="s">
        <v>106</v>
      </c>
      <c r="D158" s="8" t="s">
        <v>106</v>
      </c>
      <c r="E158" s="8" t="s">
        <v>106</v>
      </c>
      <c r="F158" s="8"/>
      <c r="G158" s="8"/>
      <c r="H158" s="8" t="s">
        <v>106</v>
      </c>
      <c r="I158" s="8"/>
      <c r="J158" s="8"/>
      <c r="K158" s="8"/>
      <c r="L158" s="9">
        <f>26541+299</f>
        <v>26840</v>
      </c>
      <c r="M158" s="8" t="s">
        <v>135</v>
      </c>
      <c r="N158" s="9">
        <f>SUM(B158:L159)</f>
        <v>114094</v>
      </c>
      <c r="O158" s="3"/>
      <c r="P158" s="3"/>
    </row>
    <row r="159" spans="1:16">
      <c r="A159" s="9"/>
      <c r="B159" s="11"/>
      <c r="C159" s="9">
        <v>68324</v>
      </c>
      <c r="D159" s="9">
        <v>8939</v>
      </c>
      <c r="E159" s="9">
        <v>8601</v>
      </c>
      <c r="F159" s="9"/>
      <c r="G159" s="9"/>
      <c r="H159" s="9">
        <v>1390</v>
      </c>
      <c r="I159" s="9"/>
      <c r="J159" s="9"/>
      <c r="K159" s="9"/>
      <c r="L159" s="9"/>
      <c r="M159" s="11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>
      <c r="A161" s="41" t="s">
        <v>37</v>
      </c>
      <c r="B161" s="42"/>
      <c r="C161" s="42" t="s">
        <v>126</v>
      </c>
      <c r="D161" s="42" t="s">
        <v>126</v>
      </c>
      <c r="E161" s="42" t="s">
        <v>126</v>
      </c>
      <c r="F161" s="42"/>
      <c r="G161" s="47"/>
      <c r="H161" s="42" t="s">
        <v>126</v>
      </c>
      <c r="I161" s="47"/>
      <c r="J161" s="47"/>
      <c r="K161" s="42"/>
      <c r="L161" s="40">
        <f>20303+41+310</f>
        <v>20654</v>
      </c>
      <c r="M161" s="42" t="s">
        <v>133</v>
      </c>
      <c r="N161" s="9">
        <f>SUM(B161:H162)</f>
        <v>86807</v>
      </c>
      <c r="O161" s="3"/>
      <c r="P161" s="3"/>
    </row>
    <row r="162" spans="1:16">
      <c r="A162" s="39"/>
      <c r="B162" s="38"/>
      <c r="C162" s="38">
        <v>69196</v>
      </c>
      <c r="D162" s="38">
        <v>8287</v>
      </c>
      <c r="E162" s="38">
        <v>8312</v>
      </c>
      <c r="F162" s="38"/>
      <c r="G162" s="38"/>
      <c r="H162" s="38">
        <v>1012</v>
      </c>
      <c r="I162" s="38"/>
      <c r="J162" s="38"/>
      <c r="K162" s="38"/>
      <c r="L162" s="39"/>
      <c r="M162" s="39"/>
      <c r="N162" s="9"/>
      <c r="O162" s="3"/>
      <c r="P162" s="3"/>
    </row>
    <row r="163" spans="1:16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9"/>
      <c r="O163" s="3"/>
      <c r="P163" s="3"/>
    </row>
    <row r="164" spans="1:16">
      <c r="A164" s="11" t="s">
        <v>39</v>
      </c>
      <c r="B164" s="8" t="s">
        <v>177</v>
      </c>
      <c r="C164" s="8" t="s">
        <v>176</v>
      </c>
      <c r="D164" s="8" t="s">
        <v>176</v>
      </c>
      <c r="E164" s="8" t="s">
        <v>176</v>
      </c>
      <c r="F164" s="8" t="s">
        <v>177</v>
      </c>
      <c r="G164" s="8" t="s">
        <v>177</v>
      </c>
      <c r="H164" s="8" t="s">
        <v>176</v>
      </c>
      <c r="I164" s="8"/>
      <c r="J164" s="8"/>
      <c r="K164" s="8"/>
      <c r="L164" s="9">
        <f>7712+41+57</f>
        <v>7810</v>
      </c>
      <c r="M164" s="8" t="s">
        <v>178</v>
      </c>
      <c r="N164" s="9">
        <f>SUM(B164:L165)</f>
        <v>133750</v>
      </c>
      <c r="O164" s="3"/>
      <c r="P164" s="3"/>
    </row>
    <row r="165" spans="1:16">
      <c r="A165" s="9"/>
      <c r="B165" s="9">
        <v>35697</v>
      </c>
      <c r="C165" s="9">
        <v>73066</v>
      </c>
      <c r="D165" s="9">
        <v>4311</v>
      </c>
      <c r="E165" s="9">
        <v>9116</v>
      </c>
      <c r="F165" s="9">
        <v>2314</v>
      </c>
      <c r="G165" s="9">
        <v>873</v>
      </c>
      <c r="H165" s="9">
        <v>563</v>
      </c>
      <c r="I165" s="9"/>
      <c r="J165" s="9"/>
      <c r="K165" s="9"/>
      <c r="L165" s="9"/>
      <c r="M165" s="11"/>
      <c r="N165" s="9"/>
      <c r="O165" s="3"/>
      <c r="P165" s="3"/>
    </row>
    <row r="166" spans="1:1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9"/>
      <c r="O166" s="3"/>
      <c r="P166" s="3"/>
    </row>
    <row r="167" spans="1:16">
      <c r="A167" s="41" t="s">
        <v>43</v>
      </c>
      <c r="B167" s="37"/>
      <c r="C167" s="37" t="s">
        <v>87</v>
      </c>
      <c r="D167" s="37" t="s">
        <v>87</v>
      </c>
      <c r="E167" s="37" t="s">
        <v>87</v>
      </c>
      <c r="F167" s="37"/>
      <c r="G167" s="37"/>
      <c r="H167" s="37" t="s">
        <v>87</v>
      </c>
      <c r="I167" s="37"/>
      <c r="J167" s="37"/>
      <c r="K167" s="37"/>
      <c r="L167" s="38">
        <f>33314+1+1040</f>
        <v>34355</v>
      </c>
      <c r="M167" s="37" t="s">
        <v>40</v>
      </c>
      <c r="N167" s="9">
        <f>SUM(B167:L168)</f>
        <v>144444</v>
      </c>
      <c r="O167" s="3"/>
      <c r="P167" s="3"/>
    </row>
    <row r="168" spans="1:16">
      <c r="A168" s="38"/>
      <c r="B168" s="41"/>
      <c r="C168" s="38">
        <v>85527</v>
      </c>
      <c r="D168" s="38">
        <v>12065</v>
      </c>
      <c r="E168" s="38">
        <v>11232</v>
      </c>
      <c r="F168" s="38"/>
      <c r="G168" s="38"/>
      <c r="H168" s="38">
        <v>1265</v>
      </c>
      <c r="I168" s="38"/>
      <c r="J168" s="38"/>
      <c r="K168" s="38"/>
      <c r="L168" s="38"/>
      <c r="M168" s="41"/>
      <c r="N168" s="9"/>
      <c r="O168" s="3"/>
      <c r="P168" s="3"/>
    </row>
    <row r="169" spans="1:16">
      <c r="A169" s="9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9"/>
      <c r="M169" s="9"/>
      <c r="N169" s="9"/>
      <c r="O169" s="3"/>
      <c r="P169" s="3"/>
    </row>
    <row r="170" spans="1:16">
      <c r="A170" s="11" t="s">
        <v>46</v>
      </c>
      <c r="B170" s="8" t="s">
        <v>179</v>
      </c>
      <c r="C170" s="8" t="s">
        <v>88</v>
      </c>
      <c r="D170" s="8" t="s">
        <v>88</v>
      </c>
      <c r="E170" s="8" t="s">
        <v>88</v>
      </c>
      <c r="F170" s="8"/>
      <c r="G170" s="8" t="s">
        <v>179</v>
      </c>
      <c r="H170" s="8" t="s">
        <v>88</v>
      </c>
      <c r="I170" s="8"/>
      <c r="J170" s="8"/>
      <c r="K170" s="8"/>
      <c r="L170" s="9">
        <f>9208+36+67</f>
        <v>9311</v>
      </c>
      <c r="M170" s="8" t="s">
        <v>44</v>
      </c>
      <c r="N170" s="9">
        <f>SUM(B170:L171)</f>
        <v>125464</v>
      </c>
      <c r="O170" s="3"/>
      <c r="P170" s="3"/>
    </row>
    <row r="171" spans="1:16">
      <c r="A171" s="9"/>
      <c r="B171" s="9">
        <v>29548</v>
      </c>
      <c r="C171" s="9">
        <v>70247</v>
      </c>
      <c r="D171" s="9">
        <v>5012</v>
      </c>
      <c r="E171" s="9">
        <v>8383</v>
      </c>
      <c r="F171" s="9"/>
      <c r="G171" s="9">
        <v>2078</v>
      </c>
      <c r="H171" s="9">
        <v>885</v>
      </c>
      <c r="I171" s="9"/>
      <c r="J171" s="9"/>
      <c r="K171" s="9"/>
      <c r="L171" s="9"/>
      <c r="M171" s="11"/>
      <c r="N171" s="9"/>
      <c r="O171" s="3"/>
      <c r="P171" s="3"/>
    </row>
    <row r="172" spans="1:16">
      <c r="A172" s="9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9"/>
      <c r="M172" s="9"/>
      <c r="N172" s="9"/>
      <c r="O172" s="3"/>
      <c r="P172" s="3"/>
    </row>
    <row r="173" spans="1:16">
      <c r="A173" s="41" t="s">
        <v>48</v>
      </c>
      <c r="B173" s="37" t="s">
        <v>180</v>
      </c>
      <c r="C173" s="37" t="s">
        <v>181</v>
      </c>
      <c r="D173" s="37" t="s">
        <v>181</v>
      </c>
      <c r="E173" s="37" t="s">
        <v>181</v>
      </c>
      <c r="F173" s="37" t="s">
        <v>180</v>
      </c>
      <c r="G173" s="37"/>
      <c r="H173" s="37" t="s">
        <v>181</v>
      </c>
      <c r="I173" s="37"/>
      <c r="J173" s="37"/>
      <c r="K173" s="37"/>
      <c r="L173" s="38">
        <f>5937+57+71</f>
        <v>6065</v>
      </c>
      <c r="M173" s="37" t="s">
        <v>182</v>
      </c>
      <c r="N173" s="9">
        <f>SUM(B173:L174)</f>
        <v>125816</v>
      </c>
      <c r="O173" s="3"/>
      <c r="P173" s="3"/>
    </row>
    <row r="174" spans="1:16">
      <c r="A174" s="38"/>
      <c r="B174" s="38">
        <v>27563</v>
      </c>
      <c r="C174" s="38">
        <v>75983</v>
      </c>
      <c r="D174" s="38">
        <v>4741</v>
      </c>
      <c r="E174" s="38">
        <v>7214</v>
      </c>
      <c r="F174" s="38">
        <v>3008</v>
      </c>
      <c r="G174" s="38"/>
      <c r="H174" s="38">
        <v>1242</v>
      </c>
      <c r="I174" s="38"/>
      <c r="J174" s="38"/>
      <c r="K174" s="38"/>
      <c r="L174" s="38"/>
      <c r="M174" s="41"/>
      <c r="N174" s="9"/>
      <c r="O174" s="3"/>
      <c r="P174" s="3"/>
    </row>
    <row r="175" spans="1:16">
      <c r="A175" s="9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9"/>
      <c r="M175" s="9"/>
      <c r="N175" s="9"/>
      <c r="O175" s="3"/>
      <c r="P175" s="3"/>
    </row>
    <row r="176" spans="1:16">
      <c r="A176" s="11" t="s">
        <v>50</v>
      </c>
      <c r="B176" s="8" t="s">
        <v>98</v>
      </c>
      <c r="C176" s="8"/>
      <c r="D176" s="8" t="s">
        <v>98</v>
      </c>
      <c r="E176" s="8"/>
      <c r="F176" s="8"/>
      <c r="G176" s="8" t="s">
        <v>98</v>
      </c>
      <c r="H176" s="8"/>
      <c r="I176" s="8"/>
      <c r="J176" s="8"/>
      <c r="K176" s="8"/>
      <c r="L176" s="9">
        <f>32602+1+658</f>
        <v>33261</v>
      </c>
      <c r="M176" s="8" t="s">
        <v>110</v>
      </c>
      <c r="N176" s="9">
        <f>SUM(B176:L177)</f>
        <v>115785</v>
      </c>
      <c r="O176" s="3"/>
      <c r="P176" s="3"/>
    </row>
    <row r="177" spans="1:16">
      <c r="A177" s="9"/>
      <c r="B177" s="11">
        <v>68854</v>
      </c>
      <c r="C177" s="9"/>
      <c r="D177" s="9">
        <v>11017</v>
      </c>
      <c r="E177" s="9"/>
      <c r="F177" s="9"/>
      <c r="G177" s="9">
        <v>2653</v>
      </c>
      <c r="H177" s="9"/>
      <c r="I177" s="9"/>
      <c r="J177" s="9"/>
      <c r="K177" s="9"/>
      <c r="L177" s="9"/>
      <c r="M177" s="11"/>
      <c r="N177" s="9"/>
      <c r="O177" s="3"/>
      <c r="P177" s="3"/>
    </row>
    <row r="178" spans="1:16">
      <c r="A178" s="9"/>
      <c r="B178" s="3"/>
      <c r="C178" s="3"/>
      <c r="D178" s="3"/>
      <c r="E178" s="3"/>
      <c r="F178" s="3"/>
      <c r="G178" s="3"/>
      <c r="H178" s="18"/>
      <c r="I178" s="3"/>
      <c r="J178" s="3"/>
      <c r="K178" s="3"/>
      <c r="L178" s="9"/>
      <c r="M178" s="9"/>
      <c r="N178" s="9"/>
      <c r="O178" s="3"/>
      <c r="P178" s="3"/>
    </row>
    <row r="179" spans="1:16">
      <c r="A179" s="41" t="s">
        <v>51</v>
      </c>
      <c r="B179" s="37" t="s">
        <v>183</v>
      </c>
      <c r="C179" s="37" t="s">
        <v>184</v>
      </c>
      <c r="D179" s="37" t="s">
        <v>184</v>
      </c>
      <c r="E179" s="37" t="s">
        <v>184</v>
      </c>
      <c r="F179" s="37"/>
      <c r="G179" s="37"/>
      <c r="H179" s="37" t="s">
        <v>359</v>
      </c>
      <c r="I179" s="37"/>
      <c r="J179" s="37"/>
      <c r="K179" s="37"/>
      <c r="L179" s="38">
        <f>10672+56+49</f>
        <v>10777</v>
      </c>
      <c r="M179" s="37" t="s">
        <v>185</v>
      </c>
      <c r="N179" s="9">
        <f>SUM(B179:L180)</f>
        <v>134041</v>
      </c>
      <c r="O179" s="3"/>
      <c r="P179" s="3"/>
    </row>
    <row r="180" spans="1:16">
      <c r="A180" s="38"/>
      <c r="B180" s="38">
        <v>40739</v>
      </c>
      <c r="C180" s="38">
        <v>60405</v>
      </c>
      <c r="D180" s="38">
        <v>4459</v>
      </c>
      <c r="E180" s="38">
        <v>9311</v>
      </c>
      <c r="F180" s="38"/>
      <c r="G180" s="38"/>
      <c r="H180" s="38">
        <v>8350</v>
      </c>
      <c r="I180" s="38"/>
      <c r="J180" s="38"/>
      <c r="K180" s="41"/>
      <c r="L180" s="38"/>
      <c r="M180" s="41"/>
      <c r="N180" s="9"/>
      <c r="O180" s="3"/>
      <c r="P180" s="3"/>
    </row>
    <row r="181" spans="1:16">
      <c r="A181" s="9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9"/>
      <c r="M181" s="9"/>
      <c r="N181" s="9"/>
      <c r="O181" s="3"/>
      <c r="P181" s="3"/>
    </row>
    <row r="182" spans="1:16">
      <c r="A182" s="11" t="s">
        <v>53</v>
      </c>
      <c r="B182" s="8"/>
      <c r="C182" s="8" t="s">
        <v>155</v>
      </c>
      <c r="D182" s="8" t="s">
        <v>155</v>
      </c>
      <c r="E182" s="8" t="s">
        <v>155</v>
      </c>
      <c r="F182" s="8"/>
      <c r="G182" s="8"/>
      <c r="H182" s="8" t="s">
        <v>155</v>
      </c>
      <c r="I182" s="8"/>
      <c r="J182" s="8"/>
      <c r="K182" s="8"/>
      <c r="L182" s="9">
        <f>48633+9+1118</f>
        <v>49760</v>
      </c>
      <c r="M182" s="8" t="s">
        <v>156</v>
      </c>
      <c r="N182" s="9">
        <f>SUM(B182:L183)</f>
        <v>151094</v>
      </c>
      <c r="O182" s="3"/>
      <c r="P182" s="3"/>
    </row>
    <row r="183" spans="1:16">
      <c r="A183" s="9"/>
      <c r="B183" s="9"/>
      <c r="C183" s="9">
        <v>75856</v>
      </c>
      <c r="D183" s="9">
        <v>12403</v>
      </c>
      <c r="E183" s="9">
        <v>11390</v>
      </c>
      <c r="F183" s="9"/>
      <c r="G183" s="9"/>
      <c r="H183" s="9">
        <v>1685</v>
      </c>
      <c r="I183" s="9"/>
      <c r="J183" s="9"/>
      <c r="K183" s="9"/>
      <c r="L183" s="9"/>
      <c r="M183" s="11"/>
      <c r="N183" s="9"/>
      <c r="O183" s="3"/>
      <c r="P183" s="3"/>
    </row>
    <row r="184" spans="1:16">
      <c r="A184" s="9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9"/>
      <c r="M184" s="9"/>
      <c r="N184" s="9"/>
      <c r="O184" s="3"/>
      <c r="P184" s="3"/>
    </row>
    <row r="185" spans="1:16">
      <c r="A185" s="41" t="s">
        <v>55</v>
      </c>
      <c r="B185" s="37" t="s">
        <v>186</v>
      </c>
      <c r="C185" s="37" t="s">
        <v>89</v>
      </c>
      <c r="D185" s="37" t="s">
        <v>89</v>
      </c>
      <c r="E185" s="37" t="s">
        <v>89</v>
      </c>
      <c r="F185" s="37" t="s">
        <v>186</v>
      </c>
      <c r="G185" s="37"/>
      <c r="H185" s="37" t="s">
        <v>89</v>
      </c>
      <c r="I185" s="37"/>
      <c r="J185" s="37"/>
      <c r="K185" s="37"/>
      <c r="L185" s="38">
        <f>7786+61+57</f>
        <v>7904</v>
      </c>
      <c r="M185" s="37" t="s">
        <v>90</v>
      </c>
      <c r="N185" s="9">
        <f>SUM(B185:L186)</f>
        <v>124242</v>
      </c>
      <c r="O185" s="3"/>
      <c r="P185" s="3"/>
    </row>
    <row r="186" spans="1:16">
      <c r="A186" s="38"/>
      <c r="B186" s="40">
        <v>39680</v>
      </c>
      <c r="C186" s="40">
        <v>58190</v>
      </c>
      <c r="D186" s="40">
        <v>5350</v>
      </c>
      <c r="E186" s="40">
        <v>9405</v>
      </c>
      <c r="F186" s="40">
        <v>3084</v>
      </c>
      <c r="G186" s="40"/>
      <c r="H186" s="40">
        <v>629</v>
      </c>
      <c r="I186" s="40"/>
      <c r="J186" s="40"/>
      <c r="K186" s="38"/>
      <c r="L186" s="38"/>
      <c r="M186" s="41"/>
      <c r="N186" s="9"/>
      <c r="O186" s="3"/>
      <c r="P186" s="3"/>
    </row>
    <row r="187" spans="1:16">
      <c r="A187" s="9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9"/>
      <c r="M187" s="9"/>
      <c r="N187" s="9"/>
      <c r="O187" s="3"/>
      <c r="P187" s="3"/>
    </row>
    <row r="188" spans="1:16">
      <c r="A188" s="11" t="s">
        <v>57</v>
      </c>
      <c r="B188" s="8" t="s">
        <v>187</v>
      </c>
      <c r="C188" s="8" t="s">
        <v>100</v>
      </c>
      <c r="D188" s="8" t="s">
        <v>100</v>
      </c>
      <c r="E188" s="8" t="s">
        <v>100</v>
      </c>
      <c r="F188" s="8" t="s">
        <v>187</v>
      </c>
      <c r="G188" s="8" t="s">
        <v>187</v>
      </c>
      <c r="H188" s="8" t="s">
        <v>100</v>
      </c>
      <c r="I188" s="8"/>
      <c r="J188" s="8"/>
      <c r="K188" s="8"/>
      <c r="L188" s="9">
        <f>5445+34+44</f>
        <v>5523</v>
      </c>
      <c r="M188" s="10" t="s">
        <v>115</v>
      </c>
      <c r="N188" s="9">
        <f>SUM(B188:L189)</f>
        <v>117979</v>
      </c>
      <c r="O188" s="3"/>
      <c r="P188" s="3"/>
    </row>
    <row r="189" spans="1:16">
      <c r="A189" s="9"/>
      <c r="B189" s="10">
        <v>17100</v>
      </c>
      <c r="C189" s="10">
        <v>77548</v>
      </c>
      <c r="D189" s="10">
        <v>5854</v>
      </c>
      <c r="E189" s="10">
        <v>9256</v>
      </c>
      <c r="F189" s="10">
        <v>1557</v>
      </c>
      <c r="G189" s="10">
        <v>479</v>
      </c>
      <c r="H189" s="10">
        <v>662</v>
      </c>
      <c r="I189" s="10"/>
      <c r="J189" s="10"/>
      <c r="K189" s="9"/>
      <c r="L189" s="9"/>
      <c r="M189" s="11"/>
      <c r="N189" s="9"/>
      <c r="O189" s="3"/>
      <c r="P189" s="3"/>
    </row>
    <row r="190" spans="1:16">
      <c r="A190" s="9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9"/>
      <c r="M190" s="9"/>
      <c r="N190" s="9"/>
      <c r="O190" s="3"/>
      <c r="P190" s="3"/>
    </row>
    <row r="191" spans="1:16">
      <c r="A191" s="41" t="s">
        <v>60</v>
      </c>
      <c r="B191" s="37" t="s">
        <v>188</v>
      </c>
      <c r="C191" s="37" t="s">
        <v>127</v>
      </c>
      <c r="D191" s="37" t="s">
        <v>127</v>
      </c>
      <c r="E191" s="37" t="s">
        <v>127</v>
      </c>
      <c r="F191" s="37" t="s">
        <v>188</v>
      </c>
      <c r="G191" s="37" t="s">
        <v>188</v>
      </c>
      <c r="H191" s="37" t="s">
        <v>127</v>
      </c>
      <c r="I191" s="37"/>
      <c r="J191" s="37"/>
      <c r="K191" s="40"/>
      <c r="L191" s="38">
        <f>5390+25+36</f>
        <v>5451</v>
      </c>
      <c r="M191" s="37" t="s">
        <v>128</v>
      </c>
      <c r="N191" s="9">
        <f>SUM(B191:L192)</f>
        <v>121209</v>
      </c>
      <c r="O191" s="3"/>
      <c r="P191" s="3"/>
    </row>
    <row r="192" spans="1:16">
      <c r="A192" s="38"/>
      <c r="B192" s="40">
        <v>45863</v>
      </c>
      <c r="C192" s="38">
        <v>55399</v>
      </c>
      <c r="D192" s="40">
        <v>2067</v>
      </c>
      <c r="E192" s="40">
        <v>5500</v>
      </c>
      <c r="F192" s="40">
        <v>5380</v>
      </c>
      <c r="G192" s="40">
        <v>1245</v>
      </c>
      <c r="H192" s="40">
        <v>304</v>
      </c>
      <c r="I192" s="40"/>
      <c r="J192" s="40"/>
      <c r="K192" s="38"/>
      <c r="L192" s="38"/>
      <c r="M192" s="41"/>
      <c r="N192" s="9"/>
      <c r="O192" s="3"/>
      <c r="P192" s="3"/>
    </row>
    <row r="193" spans="1:16">
      <c r="A193" s="9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9"/>
      <c r="M193" s="9"/>
      <c r="N193" s="9"/>
      <c r="O193" s="3"/>
      <c r="P193" s="3"/>
    </row>
    <row r="194" spans="1:16">
      <c r="A194" s="11" t="s">
        <v>61</v>
      </c>
      <c r="B194" s="8" t="s">
        <v>189</v>
      </c>
      <c r="C194" s="8" t="s">
        <v>131</v>
      </c>
      <c r="D194" s="8" t="s">
        <v>131</v>
      </c>
      <c r="E194" s="8" t="s">
        <v>131</v>
      </c>
      <c r="F194" s="8"/>
      <c r="G194" s="8"/>
      <c r="H194" s="8" t="s">
        <v>131</v>
      </c>
      <c r="I194" s="8"/>
      <c r="J194" s="8"/>
      <c r="K194" s="10"/>
      <c r="L194" s="9">
        <f>10144+11+19</f>
        <v>10174</v>
      </c>
      <c r="M194" s="8" t="s">
        <v>132</v>
      </c>
      <c r="N194" s="9">
        <f>SUM(B194:L195)</f>
        <v>148142</v>
      </c>
      <c r="O194" s="3"/>
      <c r="P194" s="3"/>
    </row>
    <row r="195" spans="1:16">
      <c r="A195" s="9"/>
      <c r="B195" s="10">
        <v>37675</v>
      </c>
      <c r="C195" s="9">
        <v>78276</v>
      </c>
      <c r="D195" s="10">
        <v>5576</v>
      </c>
      <c r="E195" s="10">
        <v>15776</v>
      </c>
      <c r="F195" s="10"/>
      <c r="G195" s="10"/>
      <c r="H195" s="10">
        <v>665</v>
      </c>
      <c r="I195" s="10"/>
      <c r="J195" s="10"/>
      <c r="K195" s="9"/>
      <c r="L195" s="9"/>
      <c r="M195" s="11"/>
      <c r="N195" s="9"/>
      <c r="O195" s="3"/>
      <c r="P195" s="3"/>
    </row>
    <row r="196" spans="1:16">
      <c r="A196" s="9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9"/>
      <c r="M196" s="9"/>
      <c r="N196" s="9"/>
      <c r="O196" s="3"/>
      <c r="P196" s="3"/>
    </row>
    <row r="197" spans="1:16">
      <c r="A197" s="41" t="s">
        <v>62</v>
      </c>
      <c r="B197" s="37" t="s">
        <v>190</v>
      </c>
      <c r="C197" s="37" t="s">
        <v>191</v>
      </c>
      <c r="D197" s="37" t="s">
        <v>191</v>
      </c>
      <c r="E197" s="37" t="s">
        <v>191</v>
      </c>
      <c r="F197" s="37" t="s">
        <v>190</v>
      </c>
      <c r="G197" s="37" t="s">
        <v>190</v>
      </c>
      <c r="H197" s="37" t="s">
        <v>191</v>
      </c>
      <c r="I197" s="37" t="s">
        <v>360</v>
      </c>
      <c r="J197" s="37"/>
      <c r="K197" s="40"/>
      <c r="L197" s="38">
        <v>9164</v>
      </c>
      <c r="M197" s="37" t="s">
        <v>192</v>
      </c>
      <c r="N197" s="9">
        <f>SUM(B197:L198)</f>
        <v>140362</v>
      </c>
      <c r="O197" s="3"/>
      <c r="P197" s="3"/>
    </row>
    <row r="198" spans="1:16">
      <c r="A198" s="38"/>
      <c r="B198" s="40">
        <v>46039</v>
      </c>
      <c r="C198" s="40">
        <v>60510</v>
      </c>
      <c r="D198" s="40">
        <v>4508</v>
      </c>
      <c r="E198" s="40">
        <v>11651</v>
      </c>
      <c r="F198" s="40">
        <v>3799</v>
      </c>
      <c r="G198" s="40">
        <v>1198</v>
      </c>
      <c r="H198" s="40">
        <v>658</v>
      </c>
      <c r="I198" s="40">
        <v>2835</v>
      </c>
      <c r="J198" s="40"/>
      <c r="K198" s="40"/>
      <c r="L198" s="38"/>
      <c r="M198" s="41"/>
      <c r="N198" s="9"/>
      <c r="O198" s="3"/>
      <c r="P198" s="3"/>
    </row>
    <row r="199" spans="1:16">
      <c r="A199" s="9"/>
      <c r="B199" s="26"/>
      <c r="C199" s="27"/>
      <c r="D199" s="27"/>
      <c r="E199" s="27"/>
      <c r="F199" s="27"/>
      <c r="G199" s="27"/>
      <c r="H199" s="27"/>
      <c r="I199" s="27"/>
      <c r="J199" s="27"/>
      <c r="K199" s="9"/>
      <c r="L199" s="9"/>
      <c r="M199" s="9"/>
      <c r="N199" s="9"/>
      <c r="O199" s="3"/>
      <c r="P199" s="3"/>
    </row>
    <row r="200" spans="1:16">
      <c r="A200" s="11" t="s">
        <v>64</v>
      </c>
      <c r="B200" s="8" t="s">
        <v>193</v>
      </c>
      <c r="C200" s="8" t="s">
        <v>111</v>
      </c>
      <c r="D200" s="8" t="s">
        <v>111</v>
      </c>
      <c r="E200" s="8" t="s">
        <v>111</v>
      </c>
      <c r="F200" s="8" t="s">
        <v>193</v>
      </c>
      <c r="G200" s="8" t="s">
        <v>193</v>
      </c>
      <c r="H200" s="8" t="s">
        <v>111</v>
      </c>
      <c r="I200" s="8" t="s">
        <v>361</v>
      </c>
      <c r="J200" s="8"/>
      <c r="K200" s="8"/>
      <c r="L200" s="9">
        <f>11106+13+29</f>
        <v>11148</v>
      </c>
      <c r="M200" s="8" t="s">
        <v>112</v>
      </c>
      <c r="N200" s="9">
        <f>SUM(B200:L201)</f>
        <v>141778</v>
      </c>
      <c r="O200" s="3"/>
      <c r="P200" s="3"/>
    </row>
    <row r="201" spans="1:16">
      <c r="A201" s="9"/>
      <c r="B201" s="10">
        <v>49316</v>
      </c>
      <c r="C201" s="10">
        <v>60480</v>
      </c>
      <c r="D201" s="10">
        <v>3338</v>
      </c>
      <c r="E201" s="10">
        <v>10964</v>
      </c>
      <c r="F201" s="10">
        <v>2954</v>
      </c>
      <c r="G201" s="10">
        <v>1093</v>
      </c>
      <c r="H201" s="10">
        <v>473</v>
      </c>
      <c r="I201" s="10">
        <v>2012</v>
      </c>
      <c r="J201" s="10"/>
      <c r="K201" s="10"/>
      <c r="L201" s="9"/>
      <c r="M201" s="9"/>
      <c r="N201" s="9"/>
      <c r="O201" s="3"/>
      <c r="P201" s="3"/>
    </row>
    <row r="202" spans="1:16">
      <c r="A202" s="9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9"/>
      <c r="M202" s="9"/>
      <c r="N202" s="9"/>
      <c r="O202" s="3"/>
      <c r="P202" s="3"/>
    </row>
    <row r="203" spans="1:16">
      <c r="A203" s="38" t="s">
        <v>91</v>
      </c>
      <c r="B203" s="40"/>
      <c r="C203" s="40" t="s">
        <v>157</v>
      </c>
      <c r="D203" s="40" t="s">
        <v>157</v>
      </c>
      <c r="E203" s="40" t="s">
        <v>157</v>
      </c>
      <c r="F203" s="40"/>
      <c r="G203" s="40"/>
      <c r="H203" s="40" t="s">
        <v>157</v>
      </c>
      <c r="I203" s="40"/>
      <c r="J203" s="40"/>
      <c r="K203" s="40"/>
      <c r="L203" s="38">
        <f>36835+5+369</f>
        <v>37209</v>
      </c>
      <c r="M203" s="40" t="s">
        <v>158</v>
      </c>
      <c r="N203" s="9">
        <f>SUM(B203:L204)</f>
        <v>126599</v>
      </c>
      <c r="O203" s="3"/>
      <c r="P203" s="3"/>
    </row>
    <row r="204" spans="1:16">
      <c r="A204" s="38"/>
      <c r="B204" s="40"/>
      <c r="C204" s="40">
        <v>67228</v>
      </c>
      <c r="D204" s="40">
        <v>8405</v>
      </c>
      <c r="E204" s="40">
        <v>12761</v>
      </c>
      <c r="F204" s="40"/>
      <c r="G204" s="40"/>
      <c r="H204" s="40">
        <v>996</v>
      </c>
      <c r="I204" s="40"/>
      <c r="J204" s="40"/>
      <c r="K204" s="40"/>
      <c r="L204" s="38"/>
      <c r="M204" s="38"/>
      <c r="N204" s="9"/>
      <c r="O204" s="3"/>
      <c r="P204" s="3"/>
    </row>
    <row r="205" spans="1:16">
      <c r="A205" s="9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9"/>
      <c r="M205" s="9"/>
      <c r="N205" s="9"/>
      <c r="O205" s="3"/>
      <c r="P205" s="3"/>
    </row>
    <row r="206" spans="1:16">
      <c r="A206" s="9" t="s">
        <v>146</v>
      </c>
      <c r="B206" s="10" t="s">
        <v>129</v>
      </c>
      <c r="C206" s="10"/>
      <c r="D206" s="10" t="s">
        <v>129</v>
      </c>
      <c r="E206" s="10"/>
      <c r="F206" s="10" t="s">
        <v>129</v>
      </c>
      <c r="G206" s="10" t="s">
        <v>129</v>
      </c>
      <c r="H206" s="10"/>
      <c r="I206" s="10"/>
      <c r="J206" s="10"/>
      <c r="K206" s="10"/>
      <c r="L206" s="9">
        <v>23854</v>
      </c>
      <c r="M206" s="10" t="s">
        <v>130</v>
      </c>
      <c r="N206" s="9">
        <f>SUM(B206:L207)</f>
        <v>113504</v>
      </c>
      <c r="O206" s="3"/>
      <c r="P206" s="3"/>
    </row>
    <row r="207" spans="1:16">
      <c r="A207" s="9"/>
      <c r="B207" s="10">
        <v>78674</v>
      </c>
      <c r="C207" s="10"/>
      <c r="D207" s="10">
        <v>3751</v>
      </c>
      <c r="E207" s="10"/>
      <c r="F207" s="10">
        <v>6034</v>
      </c>
      <c r="G207" s="10">
        <v>1191</v>
      </c>
      <c r="H207" s="10"/>
      <c r="I207" s="10"/>
      <c r="J207" s="10"/>
      <c r="K207" s="10"/>
      <c r="L207" s="9"/>
      <c r="M207" s="9"/>
      <c r="N207" s="9"/>
      <c r="O207" s="3"/>
      <c r="P207" s="3"/>
    </row>
    <row r="208" spans="1:16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9"/>
      <c r="O208" s="3"/>
      <c r="P208" s="3"/>
    </row>
    <row r="209" spans="1:16">
      <c r="A209" s="11" t="s">
        <v>66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9"/>
      <c r="O209" s="3"/>
      <c r="P209" s="3"/>
    </row>
    <row r="210" spans="1:16">
      <c r="A210" s="16" t="s">
        <v>194</v>
      </c>
      <c r="B210" s="15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9"/>
      <c r="O210" s="3"/>
      <c r="P210" s="3"/>
    </row>
    <row r="211" spans="1:16">
      <c r="A211" s="17" t="s">
        <v>134</v>
      </c>
      <c r="B211" s="15"/>
      <c r="C211" s="15"/>
      <c r="D211" s="15"/>
      <c r="E211" s="3"/>
      <c r="F211" s="3"/>
      <c r="G211" s="3"/>
      <c r="H211" s="3"/>
      <c r="I211" s="3"/>
      <c r="J211" s="3"/>
      <c r="K211" s="3"/>
      <c r="L211" s="3"/>
      <c r="M211" s="3"/>
      <c r="N211" s="9"/>
      <c r="O211" s="3"/>
      <c r="P211" s="3"/>
    </row>
    <row r="212" spans="1:16">
      <c r="A212" s="17" t="s">
        <v>365</v>
      </c>
      <c r="B212" s="15"/>
      <c r="C212" s="15"/>
      <c r="D212" s="15"/>
      <c r="E212" s="3"/>
      <c r="F212" s="3"/>
      <c r="G212" s="3"/>
      <c r="H212" s="3"/>
      <c r="I212" s="3"/>
      <c r="J212" s="3"/>
      <c r="K212" s="3"/>
      <c r="L212" s="3"/>
      <c r="M212" s="3"/>
      <c r="N212" s="9"/>
      <c r="O212" s="3"/>
      <c r="P212" s="3"/>
    </row>
    <row r="213" spans="1:16" s="68" customFormat="1">
      <c r="A213" s="17" t="s">
        <v>1270</v>
      </c>
      <c r="B213" s="15"/>
      <c r="C213" s="15"/>
      <c r="D213" s="15"/>
      <c r="E213" s="3"/>
      <c r="F213" s="3"/>
      <c r="G213" s="3"/>
      <c r="H213" s="3"/>
      <c r="I213" s="3"/>
      <c r="J213" s="3"/>
      <c r="K213" s="3"/>
      <c r="L213" s="3"/>
      <c r="M213" s="3"/>
      <c r="N213" s="9"/>
      <c r="O213" s="3"/>
      <c r="P213" s="3"/>
    </row>
    <row r="214" spans="1:16" s="68" customFormat="1">
      <c r="A214" s="17" t="s">
        <v>1269</v>
      </c>
      <c r="B214" s="15"/>
      <c r="C214" s="15"/>
      <c r="D214" s="15"/>
      <c r="E214" s="3"/>
      <c r="F214" s="3"/>
      <c r="G214" s="3"/>
      <c r="H214" s="3"/>
      <c r="I214" s="3"/>
      <c r="J214" s="3"/>
      <c r="K214" s="3"/>
      <c r="L214" s="3"/>
      <c r="M214" s="3"/>
      <c r="N214" s="9"/>
      <c r="O214" s="3"/>
      <c r="P214" s="3"/>
    </row>
    <row r="215" spans="1:16">
      <c r="A215" s="9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9"/>
      <c r="O215" s="3"/>
      <c r="P215" s="3"/>
    </row>
    <row r="216" spans="1:16">
      <c r="A216" s="72" t="s">
        <v>286</v>
      </c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9"/>
      <c r="O216" s="3"/>
      <c r="P216" s="3"/>
    </row>
    <row r="217" spans="1:16">
      <c r="A217" s="9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9"/>
      <c r="O217" s="3"/>
      <c r="P217" s="3"/>
    </row>
    <row r="218" spans="1:16">
      <c r="A218" s="9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9"/>
      <c r="O218" s="3"/>
      <c r="P218" s="3"/>
    </row>
    <row r="219" spans="1:1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</sheetData>
  <hyperlinks>
    <hyperlink ref="A216" r:id="rId1"/>
  </hyperlinks>
  <pageMargins left="0.7" right="0.7" top="0.75" bottom="0.75" header="0.3" footer="0.3"/>
  <pageSetup paperSize="5" scale="65" fitToHeight="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9"/>
  <sheetViews>
    <sheetView workbookViewId="0"/>
  </sheetViews>
  <sheetFormatPr defaultColWidth="15.77734375" defaultRowHeight="15.75"/>
  <cols>
    <col min="1" max="1" width="17.77734375" customWidth="1"/>
    <col min="12" max="12" width="25.77734375" customWidth="1"/>
  </cols>
  <sheetData>
    <row r="1" spans="1:15" ht="20.25">
      <c r="A1" s="29" t="s">
        <v>0</v>
      </c>
      <c r="B1" s="5"/>
      <c r="C1" s="5"/>
      <c r="D1" s="5"/>
      <c r="E1" s="5"/>
      <c r="F1" s="5"/>
      <c r="G1" s="5"/>
      <c r="H1" s="5"/>
      <c r="I1" s="5"/>
      <c r="J1" s="4"/>
      <c r="K1" s="3"/>
      <c r="L1" s="3"/>
      <c r="M1" s="3"/>
      <c r="N1" s="3"/>
      <c r="O1" s="3"/>
    </row>
    <row r="2" spans="1:15" ht="20.25">
      <c r="A2" s="30" t="s">
        <v>366</v>
      </c>
      <c r="B2" s="5"/>
      <c r="C2" s="5"/>
      <c r="D2" s="3"/>
      <c r="E2" s="3"/>
      <c r="F2" s="3"/>
      <c r="G2" s="3"/>
      <c r="H2" s="3"/>
      <c r="I2" s="3"/>
      <c r="J2" s="4"/>
      <c r="K2" s="3"/>
      <c r="L2" s="3"/>
      <c r="M2" s="3"/>
      <c r="N2" s="3"/>
      <c r="O2" s="3"/>
    </row>
    <row r="3" spans="1: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29.25">
      <c r="A4" s="31" t="s">
        <v>1</v>
      </c>
      <c r="B4" s="32" t="s">
        <v>73</v>
      </c>
      <c r="C4" s="33" t="s">
        <v>2</v>
      </c>
      <c r="D4" s="33" t="s">
        <v>80</v>
      </c>
      <c r="E4" s="33" t="s">
        <v>101</v>
      </c>
      <c r="F4" s="34" t="s">
        <v>196</v>
      </c>
      <c r="G4" s="34" t="s">
        <v>198</v>
      </c>
      <c r="H4" s="34" t="s">
        <v>200</v>
      </c>
      <c r="I4" s="34" t="s">
        <v>201</v>
      </c>
      <c r="J4" s="33" t="s">
        <v>195</v>
      </c>
      <c r="K4" s="35" t="s">
        <v>197</v>
      </c>
      <c r="L4" s="33" t="s">
        <v>3</v>
      </c>
      <c r="M4" s="3"/>
      <c r="N4" s="3"/>
      <c r="O4" s="3"/>
    </row>
    <row r="5" spans="1:15">
      <c r="A5" s="3"/>
      <c r="B5" s="6"/>
      <c r="C5" s="6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</row>
    <row r="6" spans="1:15">
      <c r="A6" s="7" t="s">
        <v>4</v>
      </c>
      <c r="B6" s="8" t="s">
        <v>367</v>
      </c>
      <c r="C6" s="8" t="s">
        <v>113</v>
      </c>
      <c r="D6" s="8" t="s">
        <v>113</v>
      </c>
      <c r="E6" s="8" t="s">
        <v>74</v>
      </c>
      <c r="F6" s="8"/>
      <c r="G6" s="8"/>
      <c r="H6" s="8"/>
      <c r="I6" s="8"/>
      <c r="J6" s="8"/>
      <c r="K6" s="9">
        <v>4394</v>
      </c>
      <c r="L6" s="8" t="s">
        <v>114</v>
      </c>
      <c r="M6" s="9">
        <f>SUM(B6:K7)</f>
        <v>85021</v>
      </c>
      <c r="N6" s="3"/>
      <c r="O6" s="3"/>
    </row>
    <row r="7" spans="1:15">
      <c r="A7" s="3"/>
      <c r="B7" s="10">
        <v>24154</v>
      </c>
      <c r="C7" s="10">
        <v>43972</v>
      </c>
      <c r="D7" s="10">
        <v>4496</v>
      </c>
      <c r="E7" s="10">
        <v>8005</v>
      </c>
      <c r="F7" s="10"/>
      <c r="G7" s="10"/>
      <c r="H7" s="10"/>
      <c r="I7" s="10"/>
      <c r="J7" s="10"/>
      <c r="K7" s="9"/>
      <c r="L7" s="11"/>
      <c r="M7" s="3"/>
      <c r="N7" s="3"/>
      <c r="O7" s="3"/>
    </row>
    <row r="8" spans="1:15">
      <c r="A8" s="3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3"/>
      <c r="N8" s="3"/>
      <c r="O8" s="3"/>
    </row>
    <row r="9" spans="1:15">
      <c r="A9" s="36" t="s">
        <v>6</v>
      </c>
      <c r="B9" s="37" t="s">
        <v>368</v>
      </c>
      <c r="C9" s="37" t="s">
        <v>81</v>
      </c>
      <c r="D9" s="37" t="s">
        <v>81</v>
      </c>
      <c r="E9" s="37" t="s">
        <v>81</v>
      </c>
      <c r="F9" s="37"/>
      <c r="G9" s="37"/>
      <c r="H9" s="37"/>
      <c r="I9" s="37"/>
      <c r="J9" s="37"/>
      <c r="K9" s="38">
        <v>4266</v>
      </c>
      <c r="L9" s="37" t="s">
        <v>82</v>
      </c>
      <c r="M9" s="9">
        <f>SUM(B9:K10)</f>
        <v>77329</v>
      </c>
      <c r="N9" s="3"/>
      <c r="O9" s="3"/>
    </row>
    <row r="10" spans="1:15">
      <c r="A10" s="39"/>
      <c r="B10" s="40">
        <v>22530</v>
      </c>
      <c r="C10" s="40">
        <v>40302</v>
      </c>
      <c r="D10" s="40">
        <v>2812</v>
      </c>
      <c r="E10" s="40">
        <v>7419</v>
      </c>
      <c r="F10" s="40"/>
      <c r="G10" s="40"/>
      <c r="H10" s="40"/>
      <c r="I10" s="40"/>
      <c r="J10" s="40"/>
      <c r="K10" s="38"/>
      <c r="L10" s="41"/>
      <c r="M10" s="3"/>
      <c r="N10" s="3"/>
      <c r="O10" s="3"/>
    </row>
    <row r="11" spans="1:15">
      <c r="A11" s="3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3"/>
      <c r="N11" s="3"/>
      <c r="O11" s="3"/>
    </row>
    <row r="12" spans="1:15">
      <c r="A12" s="7" t="s">
        <v>7</v>
      </c>
      <c r="B12" s="8" t="s">
        <v>369</v>
      </c>
      <c r="C12" s="8" t="s">
        <v>289</v>
      </c>
      <c r="D12" s="8" t="s">
        <v>289</v>
      </c>
      <c r="E12" s="8" t="s">
        <v>289</v>
      </c>
      <c r="F12" s="8" t="s">
        <v>369</v>
      </c>
      <c r="G12" s="8"/>
      <c r="H12" s="8" t="s">
        <v>369</v>
      </c>
      <c r="I12" s="8"/>
      <c r="J12" s="8"/>
      <c r="K12" s="9">
        <v>2924</v>
      </c>
      <c r="L12" s="8" t="s">
        <v>290</v>
      </c>
      <c r="M12" s="9">
        <f>SUM(B12:K13)</f>
        <v>60985</v>
      </c>
      <c r="N12" s="3"/>
      <c r="O12" s="3"/>
    </row>
    <row r="13" spans="1:15">
      <c r="A13" s="3"/>
      <c r="B13" s="10">
        <v>21213</v>
      </c>
      <c r="C13" s="10">
        <v>26404</v>
      </c>
      <c r="D13" s="10">
        <v>1776</v>
      </c>
      <c r="E13" s="10">
        <v>5681</v>
      </c>
      <c r="F13" s="10">
        <v>2035</v>
      </c>
      <c r="G13" s="10"/>
      <c r="H13" s="10">
        <v>952</v>
      </c>
      <c r="I13" s="10"/>
      <c r="J13" s="10"/>
      <c r="K13" s="9"/>
      <c r="L13" s="11"/>
      <c r="M13" s="3"/>
      <c r="N13" s="3"/>
      <c r="O13" s="3"/>
    </row>
    <row r="14" spans="1:15">
      <c r="A14" s="3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3"/>
      <c r="N14" s="3"/>
      <c r="O14" s="3"/>
    </row>
    <row r="15" spans="1:15">
      <c r="A15" s="36" t="s">
        <v>9</v>
      </c>
      <c r="B15" s="37" t="s">
        <v>291</v>
      </c>
      <c r="C15" s="37" t="s">
        <v>136</v>
      </c>
      <c r="D15" s="37" t="s">
        <v>136</v>
      </c>
      <c r="E15" s="37" t="s">
        <v>136</v>
      </c>
      <c r="F15" s="37"/>
      <c r="G15" s="37"/>
      <c r="H15" s="37"/>
      <c r="I15" s="37"/>
      <c r="J15" s="37"/>
      <c r="K15" s="38">
        <v>4214</v>
      </c>
      <c r="L15" s="37" t="s">
        <v>137</v>
      </c>
      <c r="M15" s="9">
        <f>SUM(B15:K16)</f>
        <v>60957</v>
      </c>
      <c r="N15" s="3"/>
      <c r="O15" s="3"/>
    </row>
    <row r="16" spans="1:15">
      <c r="A16" s="39"/>
      <c r="B16" s="40">
        <v>18282</v>
      </c>
      <c r="C16" s="40">
        <v>29897</v>
      </c>
      <c r="D16" s="40">
        <v>2566</v>
      </c>
      <c r="E16" s="40">
        <v>5998</v>
      </c>
      <c r="F16" s="40"/>
      <c r="G16" s="40"/>
      <c r="H16" s="40"/>
      <c r="I16" s="40"/>
      <c r="J16" s="40"/>
      <c r="K16" s="38"/>
      <c r="L16" s="41"/>
      <c r="M16" s="3"/>
      <c r="N16" s="3"/>
      <c r="O16" s="3"/>
    </row>
    <row r="17" spans="1:15">
      <c r="A17" s="3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3"/>
      <c r="N17" s="3"/>
      <c r="O17" s="3"/>
    </row>
    <row r="18" spans="1:15">
      <c r="A18" s="7" t="s">
        <v>11</v>
      </c>
      <c r="B18" s="10" t="s">
        <v>370</v>
      </c>
      <c r="C18" s="10" t="s">
        <v>12</v>
      </c>
      <c r="D18" s="10" t="s">
        <v>12</v>
      </c>
      <c r="E18" s="10" t="s">
        <v>75</v>
      </c>
      <c r="F18" s="10" t="s">
        <v>370</v>
      </c>
      <c r="G18" s="10"/>
      <c r="H18" s="10"/>
      <c r="I18" s="10" t="s">
        <v>438</v>
      </c>
      <c r="J18" s="10"/>
      <c r="K18" s="10">
        <v>3715</v>
      </c>
      <c r="L18" s="10" t="s">
        <v>13</v>
      </c>
      <c r="M18" s="9">
        <f>SUM(B18:K19)</f>
        <v>80661</v>
      </c>
      <c r="N18" s="3"/>
      <c r="O18" s="3"/>
    </row>
    <row r="19" spans="1:15">
      <c r="A19" s="3"/>
      <c r="B19" s="10">
        <v>27219</v>
      </c>
      <c r="C19" s="10">
        <v>38555</v>
      </c>
      <c r="D19" s="10">
        <v>2356</v>
      </c>
      <c r="E19" s="10">
        <v>5565</v>
      </c>
      <c r="F19" s="10">
        <v>2513</v>
      </c>
      <c r="G19" s="10"/>
      <c r="H19" s="10"/>
      <c r="I19" s="10">
        <v>738</v>
      </c>
      <c r="J19" s="9"/>
      <c r="K19" s="9"/>
      <c r="L19" s="9"/>
      <c r="M19" s="3"/>
      <c r="N19" s="3"/>
      <c r="O19" s="3"/>
    </row>
    <row r="20" spans="1:15">
      <c r="A20" s="3"/>
      <c r="B20" s="3"/>
      <c r="C20" s="3"/>
      <c r="D20" s="3"/>
      <c r="E20" s="3"/>
      <c r="F20" s="3"/>
      <c r="G20" s="3"/>
      <c r="H20" s="3"/>
      <c r="I20" s="3"/>
      <c r="J20" s="3"/>
      <c r="K20" s="9"/>
      <c r="L20" s="9"/>
      <c r="M20" s="3"/>
      <c r="N20" s="3"/>
      <c r="O20" s="3"/>
    </row>
    <row r="21" spans="1:15">
      <c r="A21" s="36" t="s">
        <v>15</v>
      </c>
      <c r="B21" s="40" t="s">
        <v>371</v>
      </c>
      <c r="C21" s="40" t="s">
        <v>16</v>
      </c>
      <c r="D21" s="40" t="s">
        <v>16</v>
      </c>
      <c r="E21" s="40" t="s">
        <v>76</v>
      </c>
      <c r="F21" s="40" t="s">
        <v>371</v>
      </c>
      <c r="G21" s="40"/>
      <c r="H21" s="40"/>
      <c r="I21" s="40"/>
      <c r="J21" s="40" t="s">
        <v>294</v>
      </c>
      <c r="K21" s="40">
        <v>3364</v>
      </c>
      <c r="L21" s="40" t="s">
        <v>293</v>
      </c>
      <c r="M21" s="9">
        <f>SUM(B21:K22)</f>
        <v>70380</v>
      </c>
      <c r="N21" s="3"/>
      <c r="O21" s="3"/>
    </row>
    <row r="22" spans="1:15">
      <c r="A22" s="39"/>
      <c r="B22" s="40">
        <v>22986</v>
      </c>
      <c r="C22" s="40">
        <v>35281</v>
      </c>
      <c r="D22" s="40">
        <v>1661</v>
      </c>
      <c r="E22" s="40">
        <v>5189</v>
      </c>
      <c r="F22" s="40">
        <v>1716</v>
      </c>
      <c r="G22" s="40"/>
      <c r="H22" s="40"/>
      <c r="I22" s="40"/>
      <c r="J22" s="40">
        <v>183</v>
      </c>
      <c r="K22" s="38"/>
      <c r="L22" s="38"/>
      <c r="M22" s="3"/>
      <c r="N22" s="3"/>
      <c r="O22" s="3"/>
    </row>
    <row r="23" spans="1:15">
      <c r="A23" s="3"/>
      <c r="B23" s="3"/>
      <c r="C23" s="3"/>
      <c r="D23" s="3"/>
      <c r="E23" s="3"/>
      <c r="F23" s="3"/>
      <c r="G23" s="3"/>
      <c r="H23" s="3"/>
      <c r="I23" s="3"/>
      <c r="J23" s="9"/>
      <c r="K23" s="9"/>
      <c r="L23" s="9"/>
      <c r="M23" s="3"/>
      <c r="N23" s="3"/>
      <c r="O23" s="3"/>
    </row>
    <row r="24" spans="1:15">
      <c r="A24" s="12" t="s">
        <v>18</v>
      </c>
      <c r="B24" s="13" t="s">
        <v>295</v>
      </c>
      <c r="C24" s="13" t="s">
        <v>372</v>
      </c>
      <c r="D24" s="13" t="s">
        <v>372</v>
      </c>
      <c r="E24" s="13" t="s">
        <v>372</v>
      </c>
      <c r="F24" s="13" t="s">
        <v>295</v>
      </c>
      <c r="G24" s="13" t="s">
        <v>295</v>
      </c>
      <c r="H24" s="13"/>
      <c r="I24" s="13" t="s">
        <v>295</v>
      </c>
      <c r="J24" s="14" t="s">
        <v>374</v>
      </c>
      <c r="K24" s="14">
        <v>2568</v>
      </c>
      <c r="L24" s="13" t="s">
        <v>373</v>
      </c>
      <c r="M24" s="9">
        <f>SUM(B24:K25)</f>
        <v>74585</v>
      </c>
      <c r="N24" s="3"/>
      <c r="O24" s="3"/>
    </row>
    <row r="25" spans="1:15">
      <c r="A25" s="15"/>
      <c r="B25" s="14">
        <v>28405</v>
      </c>
      <c r="C25" s="14">
        <v>34636</v>
      </c>
      <c r="D25" s="14">
        <v>1365</v>
      </c>
      <c r="E25" s="14">
        <v>4193</v>
      </c>
      <c r="F25" s="14">
        <v>1714</v>
      </c>
      <c r="G25" s="14">
        <v>754</v>
      </c>
      <c r="H25" s="14"/>
      <c r="I25" s="14">
        <v>679</v>
      </c>
      <c r="J25" s="14">
        <v>271</v>
      </c>
      <c r="K25" s="14"/>
      <c r="L25" s="16"/>
      <c r="M25" s="3"/>
      <c r="N25" s="3"/>
      <c r="O25" s="3"/>
    </row>
    <row r="26" spans="1: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7"/>
      <c r="L26" s="17"/>
      <c r="M26" s="3"/>
      <c r="N26" s="3"/>
      <c r="O26" s="3"/>
    </row>
    <row r="27" spans="1:15">
      <c r="A27" s="36" t="s">
        <v>21</v>
      </c>
      <c r="B27" s="37" t="s">
        <v>375</v>
      </c>
      <c r="C27" s="37" t="s">
        <v>297</v>
      </c>
      <c r="D27" s="37" t="s">
        <v>297</v>
      </c>
      <c r="E27" s="37" t="s">
        <v>297</v>
      </c>
      <c r="F27" s="37" t="s">
        <v>375</v>
      </c>
      <c r="G27" s="37" t="s">
        <v>375</v>
      </c>
      <c r="H27" s="37"/>
      <c r="I27" s="37"/>
      <c r="J27" s="37" t="s">
        <v>298</v>
      </c>
      <c r="K27" s="40">
        <v>3924</v>
      </c>
      <c r="L27" s="37" t="s">
        <v>376</v>
      </c>
      <c r="M27" s="9">
        <f>SUM(B27:K28)</f>
        <v>73909</v>
      </c>
      <c r="N27" s="3"/>
      <c r="O27" s="3"/>
    </row>
    <row r="28" spans="1:15">
      <c r="A28" s="39"/>
      <c r="B28" s="40">
        <v>25679</v>
      </c>
      <c r="C28" s="40">
        <v>34732</v>
      </c>
      <c r="D28" s="40">
        <v>1719</v>
      </c>
      <c r="E28" s="40">
        <v>5154</v>
      </c>
      <c r="F28" s="40">
        <v>1770</v>
      </c>
      <c r="G28" s="40">
        <v>655</v>
      </c>
      <c r="H28" s="40"/>
      <c r="I28" s="40"/>
      <c r="J28" s="40">
        <v>276</v>
      </c>
      <c r="K28" s="38"/>
      <c r="L28" s="41"/>
      <c r="M28" s="3"/>
      <c r="N28" s="3"/>
      <c r="O28" s="3"/>
    </row>
    <row r="29" spans="1:15">
      <c r="A29" s="3"/>
      <c r="B29" s="3"/>
      <c r="C29" s="3"/>
      <c r="D29" s="3"/>
      <c r="E29" s="3"/>
      <c r="F29" s="3"/>
      <c r="G29" s="3"/>
      <c r="H29" s="3"/>
      <c r="I29" s="3"/>
      <c r="J29" s="9"/>
      <c r="K29" s="9"/>
      <c r="L29" s="9"/>
      <c r="M29" s="3"/>
      <c r="N29" s="3"/>
      <c r="O29" s="3"/>
    </row>
    <row r="30" spans="1:15">
      <c r="A30" s="7" t="s">
        <v>23</v>
      </c>
      <c r="B30" s="8" t="s">
        <v>377</v>
      </c>
      <c r="C30" s="8" t="s">
        <v>378</v>
      </c>
      <c r="D30" s="8" t="s">
        <v>379</v>
      </c>
      <c r="E30" s="8" t="s">
        <v>379</v>
      </c>
      <c r="F30" s="8" t="s">
        <v>377</v>
      </c>
      <c r="G30" s="8"/>
      <c r="H30" s="8"/>
      <c r="I30" s="8"/>
      <c r="J30" s="8" t="s">
        <v>380</v>
      </c>
      <c r="K30" s="10">
        <v>3374</v>
      </c>
      <c r="L30" s="8" t="s">
        <v>381</v>
      </c>
      <c r="M30" s="9">
        <f>SUM(B30:K31)</f>
        <v>79542</v>
      </c>
      <c r="N30" s="3"/>
      <c r="O30" s="3"/>
    </row>
    <row r="31" spans="1:15">
      <c r="A31" s="3"/>
      <c r="B31" s="10">
        <v>23969</v>
      </c>
      <c r="C31" s="10">
        <v>43348</v>
      </c>
      <c r="D31" s="10">
        <v>1960</v>
      </c>
      <c r="E31" s="10">
        <v>4634</v>
      </c>
      <c r="F31" s="10">
        <v>2057</v>
      </c>
      <c r="G31" s="10"/>
      <c r="H31" s="10"/>
      <c r="I31" s="10"/>
      <c r="J31" s="10">
        <v>200</v>
      </c>
      <c r="K31" s="9"/>
      <c r="L31" s="11"/>
      <c r="M31" s="3"/>
      <c r="N31" s="3"/>
      <c r="O31" s="3"/>
    </row>
    <row r="32" spans="1: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9"/>
      <c r="M32" s="3"/>
      <c r="N32" s="3"/>
      <c r="O32" s="3"/>
    </row>
    <row r="33" spans="1:15">
      <c r="A33" s="36" t="s">
        <v>24</v>
      </c>
      <c r="B33" s="37" t="s">
        <v>147</v>
      </c>
      <c r="C33" s="42"/>
      <c r="D33" s="37"/>
      <c r="E33" s="37"/>
      <c r="F33" s="37" t="s">
        <v>147</v>
      </c>
      <c r="G33" s="37"/>
      <c r="H33" s="37"/>
      <c r="I33" s="37"/>
      <c r="J33" s="37"/>
      <c r="K33" s="40">
        <v>3826</v>
      </c>
      <c r="L33" s="37" t="s">
        <v>138</v>
      </c>
      <c r="M33" s="9">
        <f>SUM(B33:K34)</f>
        <v>33224</v>
      </c>
      <c r="N33" s="3"/>
      <c r="O33" s="3"/>
    </row>
    <row r="34" spans="1:15">
      <c r="A34" s="39"/>
      <c r="B34" s="40">
        <v>28207</v>
      </c>
      <c r="C34" s="38"/>
      <c r="D34" s="40"/>
      <c r="E34" s="40"/>
      <c r="F34" s="40">
        <v>1191</v>
      </c>
      <c r="G34" s="40"/>
      <c r="H34" s="40"/>
      <c r="I34" s="40"/>
      <c r="J34" s="40"/>
      <c r="K34" s="38"/>
      <c r="L34" s="41"/>
      <c r="M34" s="3"/>
      <c r="N34" s="3"/>
      <c r="O34" s="3"/>
    </row>
    <row r="35" spans="1:15">
      <c r="A35" s="3"/>
      <c r="B35" s="3"/>
      <c r="C35" s="3"/>
      <c r="D35" s="3"/>
      <c r="E35" s="3"/>
      <c r="F35" s="3"/>
      <c r="G35" s="3"/>
      <c r="H35" s="3"/>
      <c r="I35" s="3"/>
      <c r="J35" s="3"/>
      <c r="K35" s="9"/>
      <c r="L35" s="9"/>
      <c r="M35" s="3"/>
      <c r="N35" s="3"/>
      <c r="O35" s="3"/>
    </row>
    <row r="36" spans="1:15">
      <c r="A36" s="3" t="s">
        <v>26</v>
      </c>
      <c r="B36" s="10" t="s">
        <v>116</v>
      </c>
      <c r="C36" s="10"/>
      <c r="D36" s="10" t="s">
        <v>116</v>
      </c>
      <c r="E36" s="10"/>
      <c r="F36" s="10"/>
      <c r="G36" s="10"/>
      <c r="H36" s="10" t="s">
        <v>439</v>
      </c>
      <c r="I36" s="10"/>
      <c r="J36" s="10"/>
      <c r="K36" s="9">
        <v>9052</v>
      </c>
      <c r="L36" s="8" t="s">
        <v>302</v>
      </c>
      <c r="M36" s="9">
        <f>SUM(B36:K37)</f>
        <v>44815</v>
      </c>
      <c r="N36" s="3"/>
      <c r="O36" s="3"/>
    </row>
    <row r="37" spans="1:15">
      <c r="A37" s="7"/>
      <c r="B37" s="11">
        <v>29359</v>
      </c>
      <c r="C37" s="10"/>
      <c r="D37" s="10">
        <v>3591</v>
      </c>
      <c r="E37" s="10"/>
      <c r="F37" s="10"/>
      <c r="G37" s="10"/>
      <c r="H37" s="10">
        <v>2813</v>
      </c>
      <c r="I37" s="10"/>
      <c r="J37" s="11"/>
      <c r="K37" s="9"/>
      <c r="L37" s="11"/>
      <c r="M37" s="3"/>
      <c r="N37" s="3"/>
      <c r="O37" s="3"/>
    </row>
    <row r="38" spans="1:15">
      <c r="A38" s="3"/>
      <c r="B38" s="3"/>
      <c r="C38" s="3"/>
      <c r="D38" s="3"/>
      <c r="E38" s="3"/>
      <c r="F38" s="3"/>
      <c r="G38" s="3"/>
      <c r="H38" s="3"/>
      <c r="I38" s="3"/>
      <c r="J38" s="3"/>
      <c r="K38" s="9"/>
      <c r="L38" s="9"/>
      <c r="M38" s="3"/>
      <c r="N38" s="3"/>
      <c r="O38" s="3"/>
    </row>
    <row r="39" spans="1:15">
      <c r="A39" s="39" t="s">
        <v>28</v>
      </c>
      <c r="B39" s="40" t="s">
        <v>117</v>
      </c>
      <c r="C39" s="40"/>
      <c r="D39" s="40"/>
      <c r="E39" s="40"/>
      <c r="F39" s="40" t="s">
        <v>117</v>
      </c>
      <c r="G39" s="40"/>
      <c r="H39" s="40"/>
      <c r="I39" s="40"/>
      <c r="J39" s="40" t="s">
        <v>382</v>
      </c>
      <c r="K39" s="38">
        <v>4986</v>
      </c>
      <c r="L39" s="37" t="s">
        <v>118</v>
      </c>
      <c r="M39" s="9">
        <f>SUM(B39:K40)</f>
        <v>32125</v>
      </c>
      <c r="N39" s="3"/>
      <c r="O39" s="3"/>
    </row>
    <row r="40" spans="1:15">
      <c r="A40" s="36"/>
      <c r="B40" s="40">
        <v>22229</v>
      </c>
      <c r="C40" s="38"/>
      <c r="D40" s="40"/>
      <c r="E40" s="40"/>
      <c r="F40" s="40">
        <v>3752</v>
      </c>
      <c r="G40" s="40"/>
      <c r="H40" s="40"/>
      <c r="I40" s="40"/>
      <c r="J40" s="40">
        <v>1158</v>
      </c>
      <c r="K40" s="38"/>
      <c r="L40" s="41"/>
      <c r="M40" s="3"/>
      <c r="N40" s="3"/>
      <c r="O40" s="3"/>
    </row>
    <row r="41" spans="1: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9"/>
      <c r="M41" s="3"/>
      <c r="N41" s="3"/>
      <c r="O41" s="3"/>
    </row>
    <row r="42" spans="1:15">
      <c r="A42" s="3" t="s">
        <v>29</v>
      </c>
      <c r="B42" s="10" t="s">
        <v>119</v>
      </c>
      <c r="C42" s="10"/>
      <c r="D42" s="10"/>
      <c r="E42" s="10"/>
      <c r="F42" s="10" t="s">
        <v>119</v>
      </c>
      <c r="G42" s="10"/>
      <c r="H42" s="10"/>
      <c r="I42" s="10"/>
      <c r="J42" s="10"/>
      <c r="K42" s="9">
        <v>4297</v>
      </c>
      <c r="L42" s="8" t="s">
        <v>305</v>
      </c>
      <c r="M42" s="9">
        <f>SUM(B42:K43)</f>
        <v>24265</v>
      </c>
      <c r="N42" s="3"/>
      <c r="O42" s="3"/>
    </row>
    <row r="43" spans="1:15">
      <c r="A43" s="7"/>
      <c r="B43" s="10">
        <v>17878</v>
      </c>
      <c r="C43" s="9"/>
      <c r="D43" s="10"/>
      <c r="E43" s="10"/>
      <c r="F43" s="10">
        <v>2090</v>
      </c>
      <c r="G43" s="10"/>
      <c r="H43" s="10"/>
      <c r="I43" s="10"/>
      <c r="J43" s="10"/>
      <c r="K43" s="9"/>
      <c r="L43" s="11"/>
      <c r="M43" s="3"/>
      <c r="N43" s="3"/>
      <c r="O43" s="3"/>
    </row>
    <row r="44" spans="1:15">
      <c r="A44" s="7"/>
      <c r="B44" s="3"/>
      <c r="C44" s="3"/>
      <c r="D44" s="3"/>
      <c r="E44" s="3"/>
      <c r="F44" s="3"/>
      <c r="G44" s="3"/>
      <c r="H44" s="3"/>
      <c r="I44" s="3"/>
      <c r="J44" s="3"/>
      <c r="K44" s="9"/>
      <c r="L44" s="11"/>
      <c r="M44" s="3"/>
      <c r="N44" s="3"/>
      <c r="O44" s="3"/>
    </row>
    <row r="45" spans="1:15">
      <c r="A45" s="39" t="s">
        <v>32</v>
      </c>
      <c r="B45" s="37" t="s">
        <v>148</v>
      </c>
      <c r="C45" s="37"/>
      <c r="D45" s="37"/>
      <c r="E45" s="37"/>
      <c r="F45" s="37" t="s">
        <v>148</v>
      </c>
      <c r="G45" s="37"/>
      <c r="H45" s="37"/>
      <c r="I45" s="37"/>
      <c r="J45" s="37"/>
      <c r="K45" s="38">
        <v>4879</v>
      </c>
      <c r="L45" s="40" t="s">
        <v>149</v>
      </c>
      <c r="M45" s="9">
        <f>SUM(B45:K46)</f>
        <v>42345</v>
      </c>
      <c r="N45" s="3"/>
      <c r="O45" s="3"/>
    </row>
    <row r="46" spans="1:15">
      <c r="A46" s="39"/>
      <c r="B46" s="40">
        <v>35690</v>
      </c>
      <c r="C46" s="38"/>
      <c r="D46" s="40"/>
      <c r="E46" s="40"/>
      <c r="F46" s="40">
        <v>1776</v>
      </c>
      <c r="G46" s="40"/>
      <c r="H46" s="40"/>
      <c r="I46" s="40"/>
      <c r="J46" s="38"/>
      <c r="K46" s="38"/>
      <c r="L46" s="41"/>
      <c r="M46" s="3"/>
      <c r="N46" s="3"/>
      <c r="O46" s="3"/>
    </row>
    <row r="47" spans="1:15">
      <c r="A47" s="7"/>
      <c r="B47" s="3"/>
      <c r="C47" s="3"/>
      <c r="D47" s="3"/>
      <c r="E47" s="3"/>
      <c r="F47" s="3"/>
      <c r="G47" s="3"/>
      <c r="H47" s="3"/>
      <c r="I47" s="3"/>
      <c r="J47" s="3"/>
      <c r="K47" s="9"/>
      <c r="L47" s="11"/>
      <c r="M47" s="3"/>
      <c r="N47" s="3"/>
      <c r="O47" s="3"/>
    </row>
    <row r="48" spans="1:15">
      <c r="A48" s="3" t="s">
        <v>33</v>
      </c>
      <c r="B48" s="8" t="s">
        <v>107</v>
      </c>
      <c r="C48" s="8" t="s">
        <v>307</v>
      </c>
      <c r="D48" s="8"/>
      <c r="E48" s="8" t="s">
        <v>307</v>
      </c>
      <c r="F48" s="8"/>
      <c r="G48" s="8"/>
      <c r="H48" s="8"/>
      <c r="I48" s="8"/>
      <c r="J48" s="10"/>
      <c r="K48" s="9">
        <v>2129</v>
      </c>
      <c r="L48" s="10" t="s">
        <v>108</v>
      </c>
      <c r="M48" s="9">
        <f>SUM(B48:K49)</f>
        <v>39930</v>
      </c>
      <c r="N48" s="3"/>
      <c r="O48" s="3"/>
    </row>
    <row r="49" spans="1:15">
      <c r="A49" s="3"/>
      <c r="B49" s="9">
        <v>20924</v>
      </c>
      <c r="C49" s="9">
        <v>13600</v>
      </c>
      <c r="D49" s="10"/>
      <c r="E49" s="10">
        <v>3277</v>
      </c>
      <c r="F49" s="10"/>
      <c r="G49" s="10"/>
      <c r="H49" s="10"/>
      <c r="I49" s="10"/>
      <c r="J49" s="10"/>
      <c r="K49" s="9"/>
      <c r="L49" s="11"/>
      <c r="M49" s="3"/>
      <c r="N49" s="3"/>
      <c r="O49" s="3"/>
    </row>
    <row r="50" spans="1: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11"/>
      <c r="M50" s="3"/>
      <c r="N50" s="3"/>
      <c r="O50" s="3"/>
    </row>
    <row r="51" spans="1:15">
      <c r="A51" s="36" t="s">
        <v>35</v>
      </c>
      <c r="B51" s="37" t="s">
        <v>36</v>
      </c>
      <c r="C51" s="37"/>
      <c r="D51" s="37" t="s">
        <v>120</v>
      </c>
      <c r="E51" s="37"/>
      <c r="F51" s="37" t="s">
        <v>120</v>
      </c>
      <c r="G51" s="37"/>
      <c r="H51" s="37"/>
      <c r="I51" s="37"/>
      <c r="J51" s="37"/>
      <c r="K51" s="38">
        <v>6850</v>
      </c>
      <c r="L51" s="37" t="s">
        <v>77</v>
      </c>
      <c r="M51" s="9">
        <f>SUM(B51:K52)</f>
        <v>28016</v>
      </c>
      <c r="N51" s="3"/>
      <c r="O51" s="3"/>
    </row>
    <row r="52" spans="1:15">
      <c r="A52" s="39"/>
      <c r="B52" s="40">
        <v>18784</v>
      </c>
      <c r="C52" s="40"/>
      <c r="D52" s="38">
        <v>734</v>
      </c>
      <c r="E52" s="38"/>
      <c r="F52" s="38">
        <v>1648</v>
      </c>
      <c r="G52" s="38"/>
      <c r="H52" s="38"/>
      <c r="I52" s="38"/>
      <c r="J52" s="40"/>
      <c r="K52" s="38"/>
      <c r="L52" s="38"/>
      <c r="M52" s="3"/>
      <c r="N52" s="3"/>
      <c r="O52" s="3"/>
    </row>
    <row r="53" spans="1:15">
      <c r="A53" s="3"/>
      <c r="B53" s="3"/>
      <c r="C53" s="3"/>
      <c r="D53" s="3"/>
      <c r="E53" s="3"/>
      <c r="F53" s="3"/>
      <c r="G53" s="3"/>
      <c r="H53" s="3"/>
      <c r="I53" s="3"/>
      <c r="J53" s="3"/>
      <c r="K53" s="9"/>
      <c r="L53" s="11"/>
      <c r="M53" s="3"/>
      <c r="N53" s="3"/>
      <c r="O53" s="3"/>
    </row>
    <row r="54" spans="1:15">
      <c r="A54" s="7" t="s">
        <v>38</v>
      </c>
      <c r="B54" s="8" t="s">
        <v>139</v>
      </c>
      <c r="C54" s="8"/>
      <c r="D54" s="3"/>
      <c r="E54" s="8" t="s">
        <v>139</v>
      </c>
      <c r="F54" s="8"/>
      <c r="G54" s="8"/>
      <c r="H54" s="8"/>
      <c r="I54" s="8"/>
      <c r="J54" s="8"/>
      <c r="K54" s="9">
        <v>5611</v>
      </c>
      <c r="L54" s="8" t="s">
        <v>140</v>
      </c>
      <c r="M54" s="9">
        <f>SUM(B54:K55)</f>
        <v>35100</v>
      </c>
      <c r="N54" s="3"/>
      <c r="O54" s="3"/>
    </row>
    <row r="55" spans="1:15">
      <c r="A55" s="3"/>
      <c r="B55" s="10">
        <v>21384</v>
      </c>
      <c r="C55" s="9"/>
      <c r="D55" s="3"/>
      <c r="E55" s="10">
        <v>8105</v>
      </c>
      <c r="F55" s="10"/>
      <c r="G55" s="10"/>
      <c r="H55" s="10"/>
      <c r="I55" s="10"/>
      <c r="J55" s="11"/>
      <c r="K55" s="9"/>
      <c r="L55" s="9"/>
      <c r="M55" s="3"/>
      <c r="N55" s="3"/>
      <c r="O55" s="3"/>
    </row>
    <row r="56" spans="1:15">
      <c r="A56" s="3"/>
      <c r="B56" s="3"/>
      <c r="C56" s="3"/>
      <c r="D56" s="3"/>
      <c r="E56" s="3"/>
      <c r="F56" s="3"/>
      <c r="G56" s="3"/>
      <c r="H56" s="3"/>
      <c r="I56" s="3"/>
      <c r="J56" s="3"/>
      <c r="K56" s="9"/>
      <c r="L56" s="11"/>
      <c r="M56" s="3"/>
      <c r="N56" s="3"/>
      <c r="O56" s="3"/>
    </row>
    <row r="57" spans="1:15">
      <c r="A57" s="36" t="s">
        <v>41</v>
      </c>
      <c r="B57" s="37" t="s">
        <v>309</v>
      </c>
      <c r="C57" s="37"/>
      <c r="D57" s="37"/>
      <c r="E57" s="37" t="s">
        <v>383</v>
      </c>
      <c r="F57" s="37" t="s">
        <v>384</v>
      </c>
      <c r="G57" s="37"/>
      <c r="H57" s="37"/>
      <c r="I57" s="37"/>
      <c r="J57" s="37"/>
      <c r="K57" s="38">
        <v>3348</v>
      </c>
      <c r="L57" s="37" t="s">
        <v>310</v>
      </c>
      <c r="M57" s="9">
        <f>SUM(B57:K58)</f>
        <v>29589</v>
      </c>
      <c r="N57" s="3"/>
      <c r="O57" s="3"/>
    </row>
    <row r="58" spans="1:15">
      <c r="A58" s="39"/>
      <c r="B58" s="40">
        <v>21352</v>
      </c>
      <c r="C58" s="40"/>
      <c r="D58" s="38"/>
      <c r="E58" s="38">
        <v>861</v>
      </c>
      <c r="F58" s="38">
        <v>4028</v>
      </c>
      <c r="G58" s="38"/>
      <c r="H58" s="38"/>
      <c r="I58" s="38"/>
      <c r="J58" s="40"/>
      <c r="K58" s="40"/>
      <c r="L58" s="38"/>
      <c r="M58" s="3"/>
      <c r="N58" s="3"/>
      <c r="O58" s="3"/>
    </row>
    <row r="59" spans="1:15">
      <c r="A59" s="3"/>
      <c r="B59" s="3"/>
      <c r="C59" s="3"/>
      <c r="D59" s="3"/>
      <c r="E59" s="3"/>
      <c r="F59" s="3"/>
      <c r="G59" s="3"/>
      <c r="H59" s="3"/>
      <c r="I59" s="3"/>
      <c r="J59" s="3"/>
      <c r="K59" s="9"/>
      <c r="L59" s="9"/>
      <c r="M59" s="3"/>
      <c r="N59" s="3"/>
      <c r="O59" s="3"/>
    </row>
    <row r="60" spans="1:15">
      <c r="A60" s="3" t="s">
        <v>45</v>
      </c>
      <c r="B60" s="10" t="s">
        <v>385</v>
      </c>
      <c r="C60" s="10"/>
      <c r="D60" s="10"/>
      <c r="E60" s="10" t="s">
        <v>386</v>
      </c>
      <c r="F60" s="10" t="s">
        <v>387</v>
      </c>
      <c r="G60" s="10"/>
      <c r="H60" s="10"/>
      <c r="I60" s="10"/>
      <c r="J60" s="10"/>
      <c r="K60" s="9">
        <v>4611</v>
      </c>
      <c r="L60" s="8" t="s">
        <v>388</v>
      </c>
      <c r="M60" s="9">
        <f>SUM(B60:K61)</f>
        <v>39161</v>
      </c>
      <c r="N60" s="3"/>
      <c r="O60" s="3"/>
    </row>
    <row r="61" spans="1:15">
      <c r="A61" s="7"/>
      <c r="B61" s="10">
        <v>29741</v>
      </c>
      <c r="C61" s="9"/>
      <c r="D61" s="10"/>
      <c r="E61" s="10">
        <v>2816</v>
      </c>
      <c r="F61" s="10">
        <v>1993</v>
      </c>
      <c r="G61" s="10"/>
      <c r="H61" s="10"/>
      <c r="I61" s="10"/>
      <c r="J61" s="11"/>
      <c r="K61" s="9"/>
      <c r="L61" s="11"/>
      <c r="M61" s="3"/>
      <c r="N61" s="3"/>
      <c r="O61" s="3"/>
    </row>
    <row r="62" spans="1:15">
      <c r="A62" s="7"/>
      <c r="B62" s="10"/>
      <c r="C62" s="9"/>
      <c r="D62" s="10"/>
      <c r="E62" s="10"/>
      <c r="F62" s="10"/>
      <c r="G62" s="10"/>
      <c r="H62" s="10"/>
      <c r="I62" s="10"/>
      <c r="J62" s="11"/>
      <c r="K62" s="9"/>
      <c r="L62" s="11"/>
      <c r="M62" s="3"/>
      <c r="N62" s="3"/>
      <c r="O62" s="3"/>
    </row>
    <row r="63" spans="1:15" ht="17.25">
      <c r="A63" s="3" t="s">
        <v>440</v>
      </c>
      <c r="B63" s="10" t="s">
        <v>166</v>
      </c>
      <c r="C63" s="10" t="s">
        <v>225</v>
      </c>
      <c r="D63" s="10" t="s">
        <v>166</v>
      </c>
      <c r="E63" s="10" t="s">
        <v>386</v>
      </c>
      <c r="F63" s="10"/>
      <c r="G63" s="10" t="s">
        <v>166</v>
      </c>
      <c r="H63" s="10"/>
      <c r="I63" s="10"/>
      <c r="J63" s="8"/>
      <c r="K63" s="9">
        <v>577</v>
      </c>
      <c r="L63" s="8" t="s">
        <v>167</v>
      </c>
      <c r="M63" s="3"/>
      <c r="N63" s="3"/>
      <c r="O63" s="3"/>
    </row>
    <row r="64" spans="1:15">
      <c r="A64" s="7"/>
      <c r="B64" s="10">
        <v>7380</v>
      </c>
      <c r="C64" s="9">
        <v>779</v>
      </c>
      <c r="D64" s="10">
        <v>72</v>
      </c>
      <c r="E64" s="10">
        <v>278</v>
      </c>
      <c r="F64" s="10"/>
      <c r="G64" s="10">
        <v>94</v>
      </c>
      <c r="H64" s="10"/>
      <c r="I64" s="10"/>
      <c r="J64" s="11"/>
      <c r="K64" s="9"/>
      <c r="L64" s="11"/>
      <c r="M64" s="3"/>
      <c r="N64" s="3"/>
      <c r="O64" s="3"/>
    </row>
    <row r="65" spans="1:15">
      <c r="A65" s="3"/>
      <c r="B65" s="3"/>
      <c r="C65" s="3"/>
      <c r="D65" s="3"/>
      <c r="E65" s="3"/>
      <c r="F65" s="3"/>
      <c r="G65" s="3"/>
      <c r="H65" s="3"/>
      <c r="I65" s="3"/>
      <c r="J65" s="9"/>
      <c r="K65" s="9"/>
      <c r="L65" s="9"/>
      <c r="M65" s="3"/>
      <c r="N65" s="3"/>
      <c r="O65" s="3"/>
    </row>
    <row r="66" spans="1:15">
      <c r="A66" s="39" t="s">
        <v>47</v>
      </c>
      <c r="B66" s="40" t="s">
        <v>150</v>
      </c>
      <c r="C66" s="40"/>
      <c r="D66" s="40"/>
      <c r="E66" s="40" t="s">
        <v>311</v>
      </c>
      <c r="F66" s="40"/>
      <c r="G66" s="40"/>
      <c r="H66" s="40"/>
      <c r="I66" s="40"/>
      <c r="J66" s="40"/>
      <c r="K66" s="38">
        <v>4307</v>
      </c>
      <c r="L66" s="37" t="s">
        <v>312</v>
      </c>
      <c r="M66" s="9">
        <f>SUM(B66:K67)</f>
        <v>37792</v>
      </c>
      <c r="N66" s="3"/>
      <c r="O66" s="3"/>
    </row>
    <row r="67" spans="1:15">
      <c r="A67" s="36"/>
      <c r="B67" s="40">
        <v>32040</v>
      </c>
      <c r="C67" s="40"/>
      <c r="D67" s="40"/>
      <c r="E67" s="40">
        <v>1445</v>
      </c>
      <c r="F67" s="40"/>
      <c r="G67" s="40"/>
      <c r="H67" s="40"/>
      <c r="I67" s="40"/>
      <c r="J67" s="40"/>
      <c r="K67" s="38"/>
      <c r="L67" s="41"/>
      <c r="M67" s="3"/>
      <c r="N67" s="3"/>
      <c r="O67" s="3"/>
    </row>
    <row r="68" spans="1:15">
      <c r="A68" s="3"/>
      <c r="B68" s="3"/>
      <c r="C68" s="3"/>
      <c r="D68" s="3"/>
      <c r="E68" s="3"/>
      <c r="F68" s="3"/>
      <c r="G68" s="3"/>
      <c r="H68" s="3"/>
      <c r="I68" s="3"/>
      <c r="J68" s="11"/>
      <c r="K68" s="9"/>
      <c r="L68" s="9"/>
      <c r="M68" s="3"/>
      <c r="N68" s="3"/>
      <c r="O68" s="3"/>
    </row>
    <row r="69" spans="1:15">
      <c r="A69" s="3" t="s">
        <v>49</v>
      </c>
      <c r="B69" s="10" t="s">
        <v>83</v>
      </c>
      <c r="C69" s="10"/>
      <c r="D69" s="10"/>
      <c r="E69" s="10" t="s">
        <v>389</v>
      </c>
      <c r="F69" s="10" t="s">
        <v>83</v>
      </c>
      <c r="G69" s="10"/>
      <c r="H69" s="10"/>
      <c r="I69" s="10"/>
      <c r="J69" s="10"/>
      <c r="K69" s="9">
        <v>3608</v>
      </c>
      <c r="L69" s="8" t="s">
        <v>84</v>
      </c>
      <c r="M69" s="9">
        <f>SUM(B69:K70)</f>
        <v>48597</v>
      </c>
      <c r="N69" s="3"/>
      <c r="O69" s="3"/>
    </row>
    <row r="70" spans="1:15">
      <c r="A70" s="7"/>
      <c r="B70" s="10">
        <v>35548</v>
      </c>
      <c r="C70" s="10"/>
      <c r="D70" s="10"/>
      <c r="E70" s="10">
        <v>2022</v>
      </c>
      <c r="F70" s="10">
        <v>7419</v>
      </c>
      <c r="G70" s="10"/>
      <c r="H70" s="10"/>
      <c r="I70" s="10"/>
      <c r="J70" s="10"/>
      <c r="K70" s="9"/>
      <c r="L70" s="11"/>
      <c r="M70" s="3"/>
      <c r="N70" s="3"/>
      <c r="O70" s="3"/>
    </row>
    <row r="71" spans="1:15">
      <c r="A71" s="7"/>
      <c r="B71" s="3"/>
      <c r="C71" s="3"/>
      <c r="D71" s="3"/>
      <c r="E71" s="3"/>
      <c r="F71" s="3"/>
      <c r="G71" s="3"/>
      <c r="H71" s="3"/>
      <c r="I71" s="3"/>
      <c r="J71" s="3"/>
      <c r="K71" s="3"/>
      <c r="L71" s="11"/>
      <c r="M71" s="3"/>
      <c r="N71" s="3"/>
      <c r="O71" s="3"/>
    </row>
    <row r="72" spans="1:15">
      <c r="A72" s="39" t="s">
        <v>52</v>
      </c>
      <c r="B72" s="37" t="s">
        <v>390</v>
      </c>
      <c r="C72" s="37" t="s">
        <v>85</v>
      </c>
      <c r="D72" s="37" t="s">
        <v>85</v>
      </c>
      <c r="E72" s="37" t="s">
        <v>85</v>
      </c>
      <c r="F72" s="37" t="s">
        <v>390</v>
      </c>
      <c r="G72" s="37"/>
      <c r="H72" s="37"/>
      <c r="I72" s="37"/>
      <c r="J72" s="37"/>
      <c r="K72" s="38">
        <v>2135</v>
      </c>
      <c r="L72" s="40" t="s">
        <v>313</v>
      </c>
      <c r="M72" s="9">
        <f>SUM(B72:K73)</f>
        <v>36348</v>
      </c>
      <c r="N72" s="3"/>
      <c r="O72" s="3"/>
    </row>
    <row r="73" spans="1:15">
      <c r="A73" s="39"/>
      <c r="B73" s="40">
        <v>9183</v>
      </c>
      <c r="C73" s="40">
        <v>18243</v>
      </c>
      <c r="D73" s="40">
        <v>1322</v>
      </c>
      <c r="E73" s="40">
        <v>4015</v>
      </c>
      <c r="F73" s="40">
        <v>1450</v>
      </c>
      <c r="G73" s="40"/>
      <c r="H73" s="40"/>
      <c r="I73" s="40"/>
      <c r="J73" s="38"/>
      <c r="K73" s="38"/>
      <c r="L73" s="41"/>
      <c r="M73" s="3"/>
      <c r="N73" s="3"/>
      <c r="O73" s="3"/>
    </row>
    <row r="74" spans="1:15">
      <c r="A74" s="3"/>
      <c r="B74" s="3"/>
      <c r="C74" s="3"/>
      <c r="D74" s="3"/>
      <c r="E74" s="3"/>
      <c r="F74" s="3"/>
      <c r="G74" s="3"/>
      <c r="H74" s="3"/>
      <c r="I74" s="3"/>
      <c r="J74" s="3"/>
      <c r="K74" s="9"/>
      <c r="L74" s="11"/>
      <c r="M74" s="3"/>
      <c r="N74" s="3"/>
      <c r="O74" s="3"/>
    </row>
    <row r="75" spans="1:15">
      <c r="A75" s="7" t="s">
        <v>54</v>
      </c>
      <c r="B75" s="8" t="s">
        <v>93</v>
      </c>
      <c r="C75" s="8"/>
      <c r="D75" s="8" t="s">
        <v>93</v>
      </c>
      <c r="E75" s="8"/>
      <c r="F75" s="8"/>
      <c r="G75" s="8"/>
      <c r="H75" s="8"/>
      <c r="I75" s="8"/>
      <c r="J75" s="8"/>
      <c r="K75" s="9">
        <v>11407</v>
      </c>
      <c r="L75" s="8" t="s">
        <v>94</v>
      </c>
      <c r="M75" s="9">
        <f>SUM(B75:K76)</f>
        <v>39133</v>
      </c>
      <c r="N75" s="3"/>
      <c r="O75" s="3"/>
    </row>
    <row r="76" spans="1:15">
      <c r="A76" s="3"/>
      <c r="B76" s="10">
        <v>24835</v>
      </c>
      <c r="C76" s="10"/>
      <c r="D76" s="10">
        <v>2891</v>
      </c>
      <c r="E76" s="10"/>
      <c r="F76" s="10"/>
      <c r="G76" s="10"/>
      <c r="H76" s="10"/>
      <c r="I76" s="10"/>
      <c r="J76" s="9"/>
      <c r="K76" s="9"/>
      <c r="L76" s="9"/>
      <c r="M76" s="3"/>
      <c r="N76" s="3"/>
      <c r="O76" s="3"/>
    </row>
    <row r="77" spans="1:15">
      <c r="A77" s="3"/>
      <c r="B77" s="3"/>
      <c r="C77" s="3"/>
      <c r="D77" s="3"/>
      <c r="E77" s="3"/>
      <c r="F77" s="3"/>
      <c r="G77" s="3"/>
      <c r="H77" s="3"/>
      <c r="I77" s="3"/>
      <c r="J77" s="3"/>
      <c r="K77" s="9"/>
      <c r="L77" s="11"/>
      <c r="M77" s="3"/>
      <c r="N77" s="3"/>
      <c r="O77" s="3"/>
    </row>
    <row r="78" spans="1:15">
      <c r="A78" s="36" t="s">
        <v>56</v>
      </c>
      <c r="B78" s="37" t="s">
        <v>391</v>
      </c>
      <c r="C78" s="37" t="s">
        <v>102</v>
      </c>
      <c r="D78" s="37" t="s">
        <v>102</v>
      </c>
      <c r="E78" s="37" t="s">
        <v>102</v>
      </c>
      <c r="F78" s="37" t="s">
        <v>391</v>
      </c>
      <c r="G78" s="37"/>
      <c r="H78" s="37"/>
      <c r="I78" s="37"/>
      <c r="J78" s="37"/>
      <c r="K78" s="38">
        <v>1654</v>
      </c>
      <c r="L78" s="37" t="s">
        <v>103</v>
      </c>
      <c r="M78" s="9">
        <f>SUM(B78:K79)</f>
        <v>60426</v>
      </c>
      <c r="N78" s="3"/>
      <c r="O78" s="3"/>
    </row>
    <row r="79" spans="1:15">
      <c r="A79" s="39"/>
      <c r="B79" s="40">
        <v>10329</v>
      </c>
      <c r="C79" s="40">
        <v>39010</v>
      </c>
      <c r="D79" s="40">
        <v>2684</v>
      </c>
      <c r="E79" s="40">
        <v>5531</v>
      </c>
      <c r="F79" s="40">
        <v>1218</v>
      </c>
      <c r="G79" s="40"/>
      <c r="H79" s="40"/>
      <c r="I79" s="40"/>
      <c r="J79" s="38"/>
      <c r="K79" s="38"/>
      <c r="L79" s="38"/>
      <c r="M79" s="3"/>
      <c r="N79" s="3"/>
      <c r="O79" s="3"/>
    </row>
    <row r="80" spans="1: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>
      <c r="A81" s="7" t="s">
        <v>58</v>
      </c>
      <c r="B81" s="8" t="s">
        <v>121</v>
      </c>
      <c r="C81" s="8"/>
      <c r="D81" s="8"/>
      <c r="E81" s="8"/>
      <c r="F81" s="8" t="s">
        <v>121</v>
      </c>
      <c r="G81" s="8"/>
      <c r="H81" s="8"/>
      <c r="I81" s="8"/>
      <c r="J81" s="8"/>
      <c r="K81" s="9">
        <v>4514</v>
      </c>
      <c r="L81" s="8" t="s">
        <v>42</v>
      </c>
      <c r="M81" s="9">
        <f>SUM(B81:K82)</f>
        <v>48708</v>
      </c>
      <c r="N81" s="3"/>
      <c r="O81" s="3"/>
    </row>
    <row r="82" spans="1:15">
      <c r="A82" s="3"/>
      <c r="B82" s="10">
        <v>36595</v>
      </c>
      <c r="C82" s="10"/>
      <c r="D82" s="10"/>
      <c r="E82" s="10"/>
      <c r="F82" s="10">
        <v>7599</v>
      </c>
      <c r="G82" s="10"/>
      <c r="H82" s="10"/>
      <c r="I82" s="10"/>
      <c r="J82" s="9"/>
      <c r="K82" s="17"/>
      <c r="L82" s="9"/>
      <c r="M82" s="3"/>
      <c r="N82" s="3"/>
      <c r="O82" s="3"/>
    </row>
    <row r="83" spans="1:15">
      <c r="A83" s="3"/>
      <c r="B83" s="3"/>
      <c r="C83" s="3"/>
      <c r="D83" s="3"/>
      <c r="E83" s="3"/>
      <c r="F83" s="3"/>
      <c r="G83" s="3"/>
      <c r="H83" s="3"/>
      <c r="I83" s="3"/>
      <c r="J83" s="3"/>
      <c r="K83" s="15"/>
      <c r="L83" s="3"/>
      <c r="M83" s="3"/>
      <c r="N83" s="3"/>
      <c r="O83" s="3"/>
    </row>
    <row r="84" spans="1:15">
      <c r="A84" s="36" t="s">
        <v>59</v>
      </c>
      <c r="B84" s="37" t="s">
        <v>316</v>
      </c>
      <c r="C84" s="37" t="s">
        <v>392</v>
      </c>
      <c r="D84" s="37"/>
      <c r="E84" s="37"/>
      <c r="F84" s="37" t="s">
        <v>316</v>
      </c>
      <c r="G84" s="37"/>
      <c r="H84" s="37"/>
      <c r="I84" s="37"/>
      <c r="J84" s="37"/>
      <c r="K84" s="38">
        <v>2461</v>
      </c>
      <c r="L84" s="37" t="s">
        <v>317</v>
      </c>
      <c r="M84" s="9">
        <f>SUM(B84:K85)</f>
        <v>39987</v>
      </c>
      <c r="N84" s="3"/>
      <c r="O84" s="3"/>
    </row>
    <row r="85" spans="1:15">
      <c r="A85" s="39"/>
      <c r="B85" s="40">
        <v>26169</v>
      </c>
      <c r="C85" s="40">
        <v>5067</v>
      </c>
      <c r="D85" s="38"/>
      <c r="E85" s="43"/>
      <c r="F85" s="43">
        <v>6290</v>
      </c>
      <c r="G85" s="43"/>
      <c r="H85" s="43"/>
      <c r="I85" s="43"/>
      <c r="J85" s="43"/>
      <c r="K85" s="43"/>
      <c r="L85" s="43"/>
      <c r="M85" s="24"/>
      <c r="N85" s="3"/>
      <c r="O85" s="3"/>
    </row>
    <row r="86" spans="1:15">
      <c r="A86" s="3"/>
      <c r="B86" s="10"/>
      <c r="C86" s="10"/>
      <c r="D86" s="9"/>
      <c r="E86" s="23"/>
      <c r="F86" s="23"/>
      <c r="G86" s="23"/>
      <c r="H86" s="23"/>
      <c r="I86" s="23"/>
      <c r="J86" s="23"/>
      <c r="K86" s="23"/>
      <c r="L86" s="23"/>
      <c r="M86" s="24"/>
      <c r="N86" s="3"/>
      <c r="O86" s="3"/>
    </row>
    <row r="87" spans="1:15">
      <c r="A87" s="7" t="s">
        <v>63</v>
      </c>
      <c r="B87" s="8" t="s">
        <v>141</v>
      </c>
      <c r="C87" s="8" t="s">
        <v>393</v>
      </c>
      <c r="D87" s="8"/>
      <c r="E87" s="8"/>
      <c r="F87" s="8" t="s">
        <v>141</v>
      </c>
      <c r="G87" s="8"/>
      <c r="H87" s="8"/>
      <c r="I87" s="8"/>
      <c r="J87" s="8"/>
      <c r="K87" s="17">
        <v>3717</v>
      </c>
      <c r="L87" s="8" t="s">
        <v>142</v>
      </c>
      <c r="M87" s="9">
        <f>SUM(B87:K88)</f>
        <v>57675</v>
      </c>
      <c r="N87" s="3"/>
      <c r="O87" s="3"/>
    </row>
    <row r="88" spans="1:15">
      <c r="A88" s="3"/>
      <c r="B88" s="10">
        <v>36822</v>
      </c>
      <c r="C88" s="9">
        <v>7829</v>
      </c>
      <c r="D88" s="9"/>
      <c r="E88" s="9"/>
      <c r="F88" s="9">
        <v>9307</v>
      </c>
      <c r="G88" s="9"/>
      <c r="H88" s="9"/>
      <c r="I88" s="9"/>
      <c r="J88" s="11"/>
      <c r="K88" s="17"/>
      <c r="L88" s="9"/>
      <c r="M88" s="3"/>
      <c r="N88" s="3"/>
      <c r="O88" s="3"/>
    </row>
    <row r="89" spans="1:15">
      <c r="A89" s="3"/>
      <c r="B89" s="3"/>
      <c r="C89" s="3"/>
      <c r="D89" s="3"/>
      <c r="E89" s="3"/>
      <c r="F89" s="3"/>
      <c r="G89" s="3"/>
      <c r="H89" s="3"/>
      <c r="I89" s="3"/>
      <c r="J89" s="3"/>
      <c r="K89" s="17"/>
      <c r="L89" s="11"/>
      <c r="M89" s="3"/>
      <c r="N89" s="3"/>
      <c r="O89" s="3"/>
    </row>
    <row r="90" spans="1:15">
      <c r="A90" s="36" t="s">
        <v>65</v>
      </c>
      <c r="B90" s="37" t="s">
        <v>78</v>
      </c>
      <c r="C90" s="37" t="s">
        <v>319</v>
      </c>
      <c r="D90" s="37" t="s">
        <v>319</v>
      </c>
      <c r="E90" s="37"/>
      <c r="F90" s="37" t="s">
        <v>78</v>
      </c>
      <c r="G90" s="37"/>
      <c r="H90" s="37"/>
      <c r="I90" s="37"/>
      <c r="J90" s="40"/>
      <c r="K90" s="38">
        <v>1814</v>
      </c>
      <c r="L90" s="37" t="s">
        <v>79</v>
      </c>
      <c r="M90" s="9">
        <f>SUM(B90:K91)</f>
        <v>58851</v>
      </c>
      <c r="N90" s="3"/>
      <c r="O90" s="3"/>
    </row>
    <row r="91" spans="1:15">
      <c r="A91" s="39"/>
      <c r="B91" s="40">
        <v>37794</v>
      </c>
      <c r="C91" s="38">
        <v>14160</v>
      </c>
      <c r="D91" s="40">
        <v>783</v>
      </c>
      <c r="E91" s="40"/>
      <c r="F91" s="40">
        <v>4300</v>
      </c>
      <c r="G91" s="40"/>
      <c r="H91" s="40"/>
      <c r="I91" s="40"/>
      <c r="J91" s="40"/>
      <c r="K91" s="38"/>
      <c r="L91" s="38"/>
      <c r="M91" s="3"/>
      <c r="N91" s="3"/>
      <c r="O91" s="3"/>
    </row>
    <row r="92" spans="1:15">
      <c r="A92" s="3"/>
      <c r="B92" s="3"/>
      <c r="C92" s="3"/>
      <c r="D92" s="3"/>
      <c r="E92" s="3"/>
      <c r="F92" s="3"/>
      <c r="G92" s="3"/>
      <c r="H92" s="3"/>
      <c r="I92" s="3"/>
      <c r="J92" s="3"/>
      <c r="K92" s="17"/>
      <c r="L92" s="11"/>
      <c r="M92" s="3"/>
      <c r="N92" s="3"/>
      <c r="O92" s="3"/>
    </row>
    <row r="93" spans="1:15">
      <c r="A93" s="3" t="s">
        <v>67</v>
      </c>
      <c r="B93" s="10" t="s">
        <v>95</v>
      </c>
      <c r="C93" s="10" t="s">
        <v>394</v>
      </c>
      <c r="D93" s="10"/>
      <c r="E93" s="10" t="s">
        <v>394</v>
      </c>
      <c r="F93" s="10" t="s">
        <v>95</v>
      </c>
      <c r="G93" s="10"/>
      <c r="H93" s="10"/>
      <c r="I93" s="10"/>
      <c r="J93" s="10"/>
      <c r="K93" s="17">
        <v>2611</v>
      </c>
      <c r="L93" s="8" t="s">
        <v>109</v>
      </c>
      <c r="M93" s="9">
        <f>SUM(B93:K94)</f>
        <v>36702</v>
      </c>
      <c r="N93" s="3"/>
      <c r="O93" s="3"/>
    </row>
    <row r="94" spans="1:15">
      <c r="A94" s="3"/>
      <c r="B94" s="10">
        <v>27743</v>
      </c>
      <c r="C94" s="9">
        <v>3111</v>
      </c>
      <c r="D94" s="9"/>
      <c r="E94" s="9">
        <v>478</v>
      </c>
      <c r="F94" s="9">
        <v>2759</v>
      </c>
      <c r="G94" s="9"/>
      <c r="H94" s="9"/>
      <c r="I94" s="9"/>
      <c r="J94" s="9"/>
      <c r="K94" s="17"/>
      <c r="L94" s="9"/>
      <c r="M94" s="3"/>
      <c r="N94" s="3"/>
      <c r="O94" s="3"/>
    </row>
    <row r="95" spans="1:15">
      <c r="A95" s="3"/>
      <c r="B95" s="3"/>
      <c r="C95" s="3"/>
      <c r="D95" s="3"/>
      <c r="E95" s="3"/>
      <c r="F95" s="3"/>
      <c r="G95" s="3"/>
      <c r="H95" s="3"/>
      <c r="I95" s="3"/>
      <c r="J95" s="3"/>
      <c r="K95" s="17"/>
      <c r="L95" s="9"/>
      <c r="M95" s="3"/>
      <c r="N95" s="3"/>
      <c r="O95" s="3"/>
    </row>
    <row r="96" spans="1:15">
      <c r="A96" s="39" t="s">
        <v>68</v>
      </c>
      <c r="B96" s="40" t="s">
        <v>321</v>
      </c>
      <c r="C96" s="40" t="s">
        <v>322</v>
      </c>
      <c r="D96" s="40"/>
      <c r="E96" s="40"/>
      <c r="F96" s="40" t="s">
        <v>321</v>
      </c>
      <c r="G96" s="40"/>
      <c r="H96" s="40"/>
      <c r="I96" s="40"/>
      <c r="J96" s="40"/>
      <c r="K96" s="38">
        <v>4248</v>
      </c>
      <c r="L96" s="40" t="s">
        <v>323</v>
      </c>
      <c r="M96" s="9">
        <f>SUM(B96:K97)</f>
        <v>51557</v>
      </c>
      <c r="N96" s="3"/>
      <c r="O96" s="3"/>
    </row>
    <row r="97" spans="1:15">
      <c r="A97" s="39"/>
      <c r="B97" s="40">
        <v>39534</v>
      </c>
      <c r="C97" s="38">
        <v>2338</v>
      </c>
      <c r="D97" s="40"/>
      <c r="E97" s="40"/>
      <c r="F97" s="40">
        <v>5437</v>
      </c>
      <c r="G97" s="40"/>
      <c r="H97" s="40"/>
      <c r="I97" s="40"/>
      <c r="J97" s="38"/>
      <c r="K97" s="38"/>
      <c r="L97" s="38"/>
      <c r="M97" s="3"/>
      <c r="N97" s="3"/>
      <c r="O97" s="3"/>
    </row>
    <row r="98" spans="1:15">
      <c r="A98" s="3"/>
      <c r="B98" s="3"/>
      <c r="C98" s="3"/>
      <c r="D98" s="3"/>
      <c r="E98" s="3"/>
      <c r="F98" s="3"/>
      <c r="G98" s="3"/>
      <c r="H98" s="3"/>
      <c r="I98" s="3"/>
      <c r="J98" s="11"/>
      <c r="K98" s="17"/>
      <c r="L98" s="9"/>
      <c r="M98" s="3"/>
      <c r="N98" s="3"/>
      <c r="O98" s="3"/>
    </row>
    <row r="99" spans="1:15">
      <c r="A99" s="3" t="s">
        <v>69</v>
      </c>
      <c r="B99" s="10" t="s">
        <v>395</v>
      </c>
      <c r="C99" s="10"/>
      <c r="D99" s="10"/>
      <c r="E99" s="10"/>
      <c r="F99" s="10"/>
      <c r="G99" s="10"/>
      <c r="H99" s="10"/>
      <c r="I99" s="10"/>
      <c r="J99" s="10"/>
      <c r="K99" s="17">
        <v>11893</v>
      </c>
      <c r="L99" s="10" t="s">
        <v>396</v>
      </c>
      <c r="M99" s="9">
        <f>SUM(B99:K100)</f>
        <v>48982</v>
      </c>
      <c r="N99" s="3"/>
      <c r="O99" s="3"/>
    </row>
    <row r="100" spans="1:15">
      <c r="A100" s="3"/>
      <c r="B100" s="10">
        <v>37089</v>
      </c>
      <c r="C100" s="10"/>
      <c r="D100" s="10"/>
      <c r="E100" s="10"/>
      <c r="F100" s="10"/>
      <c r="G100" s="10"/>
      <c r="H100" s="10"/>
      <c r="I100" s="10"/>
      <c r="J100" s="9"/>
      <c r="K100" s="17"/>
      <c r="L100" s="9"/>
      <c r="M100" s="3"/>
      <c r="N100" s="3"/>
      <c r="O100" s="3"/>
    </row>
    <row r="101" spans="1:15">
      <c r="A101" s="3"/>
      <c r="B101" s="3"/>
      <c r="C101" s="3"/>
      <c r="D101" s="3"/>
      <c r="E101" s="3"/>
      <c r="F101" s="3"/>
      <c r="G101" s="3"/>
      <c r="H101" s="3"/>
      <c r="I101" s="3"/>
      <c r="J101" s="9"/>
      <c r="K101" s="17"/>
      <c r="L101" s="9"/>
      <c r="M101" s="3"/>
      <c r="N101" s="3"/>
      <c r="O101" s="3"/>
    </row>
    <row r="102" spans="1:15">
      <c r="A102" s="39" t="s">
        <v>70</v>
      </c>
      <c r="B102" s="40" t="s">
        <v>326</v>
      </c>
      <c r="C102" s="40" t="s">
        <v>326</v>
      </c>
      <c r="D102" s="40"/>
      <c r="E102" s="40" t="s">
        <v>397</v>
      </c>
      <c r="F102" s="40"/>
      <c r="G102" s="40"/>
      <c r="H102" s="40"/>
      <c r="I102" s="40"/>
      <c r="J102" s="40"/>
      <c r="K102" s="38">
        <v>2205</v>
      </c>
      <c r="L102" s="40" t="s">
        <v>327</v>
      </c>
      <c r="M102" s="9">
        <f>SUM(B102:K103)</f>
        <v>30889</v>
      </c>
      <c r="N102" s="3"/>
      <c r="O102" s="3"/>
    </row>
    <row r="103" spans="1:15">
      <c r="A103" s="39"/>
      <c r="B103" s="40">
        <v>26463</v>
      </c>
      <c r="C103" s="40">
        <v>1068</v>
      </c>
      <c r="D103" s="40"/>
      <c r="E103" s="40">
        <v>1153</v>
      </c>
      <c r="F103" s="40"/>
      <c r="G103" s="40"/>
      <c r="H103" s="40"/>
      <c r="I103" s="40"/>
      <c r="J103" s="38"/>
      <c r="K103" s="38"/>
      <c r="L103" s="38"/>
      <c r="M103" s="3"/>
      <c r="N103" s="3"/>
      <c r="O103" s="3"/>
    </row>
    <row r="104" spans="1: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17"/>
      <c r="L104" s="9"/>
      <c r="M104" s="3"/>
      <c r="N104" s="3"/>
      <c r="O104" s="3"/>
    </row>
    <row r="105" spans="1:15">
      <c r="A105" s="3" t="s">
        <v>71</v>
      </c>
      <c r="B105" s="10" t="s">
        <v>122</v>
      </c>
      <c r="C105" s="10" t="s">
        <v>151</v>
      </c>
      <c r="D105" s="10" t="s">
        <v>398</v>
      </c>
      <c r="E105" s="10" t="s">
        <v>151</v>
      </c>
      <c r="F105" s="10" t="s">
        <v>122</v>
      </c>
      <c r="G105" s="10"/>
      <c r="H105" s="10"/>
      <c r="I105" s="10"/>
      <c r="J105" s="10"/>
      <c r="K105" s="17">
        <v>1626</v>
      </c>
      <c r="L105" s="10" t="s">
        <v>123</v>
      </c>
      <c r="M105" s="9">
        <f>SUM(B105:K106)</f>
        <v>22903</v>
      </c>
      <c r="N105" s="3"/>
      <c r="O105" s="3"/>
    </row>
    <row r="106" spans="1:15">
      <c r="A106" s="3"/>
      <c r="B106" s="10">
        <v>19128</v>
      </c>
      <c r="C106" s="10">
        <v>940</v>
      </c>
      <c r="D106" s="10">
        <v>342</v>
      </c>
      <c r="E106" s="10">
        <v>186</v>
      </c>
      <c r="F106" s="10">
        <v>681</v>
      </c>
      <c r="G106" s="10"/>
      <c r="H106" s="10"/>
      <c r="I106" s="10"/>
      <c r="J106" s="9"/>
      <c r="K106" s="17"/>
      <c r="L106" s="9"/>
      <c r="M106" s="3"/>
      <c r="N106" s="3"/>
      <c r="O106" s="3"/>
    </row>
    <row r="107" spans="1: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15"/>
      <c r="L107" s="3"/>
      <c r="M107" s="3"/>
      <c r="N107" s="3"/>
      <c r="O107" s="3"/>
    </row>
    <row r="108" spans="1:15">
      <c r="A108" s="44" t="s">
        <v>5</v>
      </c>
      <c r="B108" s="37" t="s">
        <v>96</v>
      </c>
      <c r="C108" s="37" t="s">
        <v>328</v>
      </c>
      <c r="D108" s="37" t="s">
        <v>96</v>
      </c>
      <c r="E108" s="37" t="s">
        <v>399</v>
      </c>
      <c r="F108" s="37"/>
      <c r="G108" s="37" t="s">
        <v>96</v>
      </c>
      <c r="H108" s="37" t="s">
        <v>354</v>
      </c>
      <c r="I108" s="37"/>
      <c r="J108" s="37"/>
      <c r="K108" s="38">
        <v>2150</v>
      </c>
      <c r="L108" s="37" t="s">
        <v>329</v>
      </c>
      <c r="M108" s="9">
        <f>SUM(B108:K109)</f>
        <v>43143</v>
      </c>
      <c r="N108" s="3"/>
      <c r="O108" s="3"/>
    </row>
    <row r="109" spans="1:15">
      <c r="A109" s="38"/>
      <c r="B109" s="38">
        <v>29344</v>
      </c>
      <c r="C109" s="40">
        <v>6103</v>
      </c>
      <c r="D109" s="40">
        <v>1440</v>
      </c>
      <c r="E109" s="40">
        <v>1957</v>
      </c>
      <c r="F109" s="40"/>
      <c r="G109" s="40">
        <v>511</v>
      </c>
      <c r="H109" s="40">
        <v>1638</v>
      </c>
      <c r="I109" s="40"/>
      <c r="J109" s="40"/>
      <c r="K109" s="38"/>
      <c r="L109" s="41"/>
      <c r="M109" s="3"/>
      <c r="N109" s="3"/>
      <c r="O109" s="3"/>
    </row>
    <row r="110" spans="1:15">
      <c r="A110" s="9"/>
      <c r="B110" s="3"/>
      <c r="C110" s="3"/>
      <c r="D110" s="3"/>
      <c r="E110" s="3"/>
      <c r="F110" s="3"/>
      <c r="G110" s="3"/>
      <c r="H110" s="3"/>
      <c r="I110" s="3"/>
      <c r="J110" s="3"/>
      <c r="K110" s="17"/>
      <c r="L110" s="9"/>
      <c r="M110" s="3"/>
      <c r="N110" s="3"/>
      <c r="O110" s="3"/>
    </row>
    <row r="111" spans="1:15">
      <c r="A111" s="25" t="s">
        <v>104</v>
      </c>
      <c r="B111" s="8" t="s">
        <v>97</v>
      </c>
      <c r="C111" s="8" t="s">
        <v>400</v>
      </c>
      <c r="D111" s="8" t="s">
        <v>97</v>
      </c>
      <c r="E111" s="8" t="s">
        <v>400</v>
      </c>
      <c r="F111" s="8" t="s">
        <v>97</v>
      </c>
      <c r="G111" s="8" t="s">
        <v>97</v>
      </c>
      <c r="H111" s="8"/>
      <c r="I111" s="8"/>
      <c r="J111" s="8"/>
      <c r="K111" s="14">
        <v>3618</v>
      </c>
      <c r="L111" s="8" t="s">
        <v>105</v>
      </c>
      <c r="M111" s="9">
        <f>SUM(B111:K112)</f>
        <v>63291</v>
      </c>
      <c r="N111" s="3"/>
      <c r="O111" s="3"/>
    </row>
    <row r="112" spans="1:15">
      <c r="A112" s="9"/>
      <c r="B112" s="17">
        <v>38073</v>
      </c>
      <c r="C112" s="14">
        <v>15811</v>
      </c>
      <c r="D112" s="14">
        <v>1242</v>
      </c>
      <c r="E112" s="14">
        <v>0</v>
      </c>
      <c r="F112" s="14">
        <v>3058</v>
      </c>
      <c r="G112" s="14">
        <v>1489</v>
      </c>
      <c r="H112" s="14"/>
      <c r="I112" s="14"/>
      <c r="J112" s="14"/>
      <c r="K112" s="17"/>
      <c r="L112" s="11"/>
      <c r="M112" s="3"/>
      <c r="N112" s="3"/>
      <c r="O112" s="3"/>
    </row>
    <row r="113" spans="1:15">
      <c r="A113" s="9"/>
      <c r="B113" s="3"/>
      <c r="C113" s="3"/>
      <c r="D113" s="3"/>
      <c r="E113" s="3"/>
      <c r="F113" s="3"/>
      <c r="G113" s="3"/>
      <c r="H113" s="3"/>
      <c r="I113" s="3"/>
      <c r="J113" s="3"/>
      <c r="K113" s="17"/>
      <c r="L113" s="9"/>
      <c r="M113" s="3"/>
      <c r="N113" s="3"/>
      <c r="O113" s="3"/>
    </row>
    <row r="114" spans="1:15">
      <c r="A114" s="41" t="s">
        <v>8</v>
      </c>
      <c r="B114" s="37" t="s">
        <v>401</v>
      </c>
      <c r="C114" s="37" t="s">
        <v>124</v>
      </c>
      <c r="D114" s="37" t="s">
        <v>402</v>
      </c>
      <c r="E114" s="37" t="s">
        <v>124</v>
      </c>
      <c r="F114" s="37"/>
      <c r="G114" s="37"/>
      <c r="H114" s="37"/>
      <c r="I114" s="37"/>
      <c r="J114" s="37"/>
      <c r="K114" s="38">
        <v>2039</v>
      </c>
      <c r="L114" s="37" t="s">
        <v>403</v>
      </c>
      <c r="M114" s="9">
        <f>SUM(B114:K115)</f>
        <v>42359</v>
      </c>
      <c r="N114" s="3"/>
      <c r="O114" s="3"/>
    </row>
    <row r="115" spans="1:15">
      <c r="A115" s="38"/>
      <c r="B115" s="38">
        <v>37166</v>
      </c>
      <c r="C115" s="38">
        <v>1933</v>
      </c>
      <c r="D115" s="38">
        <v>766</v>
      </c>
      <c r="E115" s="38">
        <v>455</v>
      </c>
      <c r="F115" s="38"/>
      <c r="G115" s="38"/>
      <c r="H115" s="38"/>
      <c r="I115" s="38"/>
      <c r="J115" s="38"/>
      <c r="K115" s="38"/>
      <c r="L115" s="41"/>
      <c r="M115" s="3"/>
      <c r="N115" s="3"/>
      <c r="O115" s="3"/>
    </row>
    <row r="116" spans="1:15">
      <c r="A116" s="9"/>
      <c r="B116" s="3"/>
      <c r="C116" s="3"/>
      <c r="D116" s="3"/>
      <c r="E116" s="3"/>
      <c r="F116" s="3"/>
      <c r="G116" s="3"/>
      <c r="H116" s="3"/>
      <c r="I116" s="3"/>
      <c r="J116" s="3"/>
      <c r="K116" s="15"/>
      <c r="L116" s="9"/>
      <c r="M116" s="3"/>
      <c r="N116" s="3"/>
      <c r="O116" s="3"/>
    </row>
    <row r="117" spans="1:15">
      <c r="A117" s="11" t="s">
        <v>10</v>
      </c>
      <c r="B117" s="8" t="s">
        <v>330</v>
      </c>
      <c r="C117" s="8" t="s">
        <v>404</v>
      </c>
      <c r="D117" s="8" t="s">
        <v>404</v>
      </c>
      <c r="E117" s="8" t="s">
        <v>404</v>
      </c>
      <c r="F117" s="8" t="s">
        <v>330</v>
      </c>
      <c r="G117" s="8"/>
      <c r="H117" s="8"/>
      <c r="I117" s="8"/>
      <c r="J117" s="8"/>
      <c r="K117" s="14">
        <v>3276</v>
      </c>
      <c r="L117" s="8" t="s">
        <v>332</v>
      </c>
      <c r="M117" s="9">
        <f>SUM(B117:K118)</f>
        <v>76281</v>
      </c>
      <c r="N117" s="3"/>
      <c r="O117" s="3"/>
    </row>
    <row r="118" spans="1:15">
      <c r="A118" s="9"/>
      <c r="B118" s="10">
        <v>34850</v>
      </c>
      <c r="C118" s="9">
        <v>29151</v>
      </c>
      <c r="D118" s="9">
        <v>1190</v>
      </c>
      <c r="E118" s="9">
        <v>4572</v>
      </c>
      <c r="F118" s="9">
        <v>3242</v>
      </c>
      <c r="G118" s="9"/>
      <c r="H118" s="9"/>
      <c r="I118" s="9"/>
      <c r="J118" s="9"/>
      <c r="K118" s="17"/>
      <c r="L118" s="11"/>
      <c r="M118" s="3"/>
      <c r="N118" s="3"/>
      <c r="O118" s="3"/>
    </row>
    <row r="119" spans="1:1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17"/>
      <c r="L119" s="9"/>
      <c r="M119" s="3"/>
      <c r="N119" s="3"/>
      <c r="O119" s="3"/>
    </row>
    <row r="120" spans="1:15">
      <c r="A120" s="41" t="s">
        <v>14</v>
      </c>
      <c r="B120" s="37" t="s">
        <v>125</v>
      </c>
      <c r="C120" s="37" t="s">
        <v>405</v>
      </c>
      <c r="D120" s="37" t="s">
        <v>125</v>
      </c>
      <c r="E120" s="37"/>
      <c r="F120" s="37" t="s">
        <v>125</v>
      </c>
      <c r="G120" s="37"/>
      <c r="H120" s="37"/>
      <c r="I120" s="37"/>
      <c r="J120" s="37"/>
      <c r="K120" s="38">
        <v>4974</v>
      </c>
      <c r="L120" s="37" t="s">
        <v>143</v>
      </c>
      <c r="M120" s="9">
        <f>SUM(B120:K121)</f>
        <v>73665</v>
      </c>
      <c r="N120" s="3"/>
      <c r="O120" s="3"/>
    </row>
    <row r="121" spans="1:15">
      <c r="A121" s="38"/>
      <c r="B121" s="38">
        <v>41172</v>
      </c>
      <c r="C121" s="38">
        <v>21171</v>
      </c>
      <c r="D121" s="38">
        <v>2552</v>
      </c>
      <c r="E121" s="38"/>
      <c r="F121" s="38">
        <v>3796</v>
      </c>
      <c r="G121" s="38"/>
      <c r="H121" s="38"/>
      <c r="I121" s="38"/>
      <c r="J121" s="38"/>
      <c r="K121" s="38"/>
      <c r="L121" s="41"/>
      <c r="M121" s="3"/>
      <c r="N121" s="3"/>
      <c r="O121" s="3"/>
    </row>
    <row r="122" spans="1:15">
      <c r="A122" s="9"/>
      <c r="B122" s="3"/>
      <c r="C122" s="3"/>
      <c r="D122" s="3"/>
      <c r="E122" s="3"/>
      <c r="F122" s="3"/>
      <c r="G122" s="3"/>
      <c r="H122" s="3"/>
      <c r="I122" s="3"/>
      <c r="J122" s="9"/>
      <c r="K122" s="17"/>
      <c r="L122" s="9"/>
      <c r="M122" s="3"/>
      <c r="N122" s="3"/>
      <c r="O122" s="3"/>
    </row>
    <row r="123" spans="1:15">
      <c r="A123" s="11" t="s">
        <v>17</v>
      </c>
      <c r="B123" s="8" t="s">
        <v>406</v>
      </c>
      <c r="C123" s="8" t="s">
        <v>335</v>
      </c>
      <c r="D123" s="8" t="s">
        <v>336</v>
      </c>
      <c r="E123" s="8" t="s">
        <v>336</v>
      </c>
      <c r="F123" s="8" t="s">
        <v>406</v>
      </c>
      <c r="G123" s="8"/>
      <c r="H123" s="8"/>
      <c r="I123" s="8"/>
      <c r="J123" s="8"/>
      <c r="K123" s="17">
        <v>6377</v>
      </c>
      <c r="L123" s="8" t="s">
        <v>337</v>
      </c>
      <c r="M123" s="9">
        <f>SUM(B123:K124)</f>
        <v>71660</v>
      </c>
      <c r="N123" s="3"/>
      <c r="O123" s="3"/>
    </row>
    <row r="124" spans="1:15">
      <c r="A124" s="9"/>
      <c r="B124" s="9">
        <v>17201</v>
      </c>
      <c r="C124" s="9">
        <v>32454</v>
      </c>
      <c r="D124" s="9">
        <v>6897</v>
      </c>
      <c r="E124" s="9">
        <v>6661</v>
      </c>
      <c r="F124" s="9">
        <v>2070</v>
      </c>
      <c r="G124" s="9"/>
      <c r="H124" s="9"/>
      <c r="I124" s="9"/>
      <c r="J124" s="11"/>
      <c r="K124" s="17"/>
      <c r="L124" s="11"/>
      <c r="M124" s="3"/>
      <c r="N124" s="3"/>
      <c r="O124" s="3"/>
    </row>
    <row r="125" spans="1:15">
      <c r="A125" s="9"/>
      <c r="B125" s="3"/>
      <c r="C125" s="3"/>
      <c r="D125" s="3"/>
      <c r="E125" s="3"/>
      <c r="F125" s="3"/>
      <c r="G125" s="3"/>
      <c r="H125" s="3"/>
      <c r="I125" s="3"/>
      <c r="J125" s="9"/>
      <c r="K125" s="17"/>
      <c r="L125" s="9"/>
      <c r="M125" s="3"/>
      <c r="N125" s="3"/>
      <c r="O125" s="3"/>
    </row>
    <row r="126" spans="1:15">
      <c r="A126" s="41" t="s">
        <v>19</v>
      </c>
      <c r="B126" s="37" t="s">
        <v>407</v>
      </c>
      <c r="C126" s="37" t="s">
        <v>152</v>
      </c>
      <c r="D126" s="37" t="s">
        <v>152</v>
      </c>
      <c r="E126" s="37" t="s">
        <v>152</v>
      </c>
      <c r="F126" s="37" t="s">
        <v>407</v>
      </c>
      <c r="G126" s="37"/>
      <c r="H126" s="37" t="s">
        <v>152</v>
      </c>
      <c r="I126" s="37"/>
      <c r="J126" s="37" t="s">
        <v>408</v>
      </c>
      <c r="K126" s="40">
        <v>3392</v>
      </c>
      <c r="L126" s="37" t="s">
        <v>339</v>
      </c>
      <c r="M126" s="9">
        <f>SUM(B126:K127)</f>
        <v>88151</v>
      </c>
      <c r="N126" s="3"/>
      <c r="O126" s="3"/>
    </row>
    <row r="127" spans="1:15">
      <c r="A127" s="38"/>
      <c r="B127" s="38">
        <v>34237</v>
      </c>
      <c r="C127" s="38">
        <v>37210</v>
      </c>
      <c r="D127" s="38">
        <v>1643</v>
      </c>
      <c r="E127" s="38">
        <v>6742</v>
      </c>
      <c r="F127" s="38">
        <v>3638</v>
      </c>
      <c r="G127" s="38"/>
      <c r="H127" s="38">
        <v>675</v>
      </c>
      <c r="I127" s="38"/>
      <c r="J127" s="41">
        <v>614</v>
      </c>
      <c r="K127" s="38"/>
      <c r="L127" s="41"/>
      <c r="M127" s="3"/>
      <c r="N127" s="3"/>
      <c r="O127" s="3"/>
    </row>
    <row r="128" spans="1:15">
      <c r="A128" s="9"/>
      <c r="B128" s="3"/>
      <c r="C128" s="3"/>
      <c r="D128" s="3"/>
      <c r="E128" s="3"/>
      <c r="F128" s="3"/>
      <c r="G128" s="3"/>
      <c r="H128" s="3"/>
      <c r="I128" s="3"/>
      <c r="J128" s="9"/>
      <c r="K128" s="9"/>
      <c r="L128" s="9"/>
      <c r="M128" s="3"/>
      <c r="N128" s="3"/>
      <c r="O128" s="3"/>
    </row>
    <row r="129" spans="1:15">
      <c r="A129" s="11" t="s">
        <v>20</v>
      </c>
      <c r="B129" s="8" t="s">
        <v>340</v>
      </c>
      <c r="C129" s="8" t="s">
        <v>153</v>
      </c>
      <c r="D129" s="8" t="s">
        <v>153</v>
      </c>
      <c r="E129" s="8" t="s">
        <v>153</v>
      </c>
      <c r="F129" s="8" t="s">
        <v>340</v>
      </c>
      <c r="G129" s="8"/>
      <c r="H129" s="8" t="s">
        <v>340</v>
      </c>
      <c r="I129" s="8"/>
      <c r="J129" s="10" t="s">
        <v>409</v>
      </c>
      <c r="K129" s="10">
        <v>2308</v>
      </c>
      <c r="L129" s="8" t="s">
        <v>154</v>
      </c>
      <c r="M129" s="9">
        <f>SUM(B129:K130)</f>
        <v>83200</v>
      </c>
      <c r="N129" s="3"/>
      <c r="O129" s="3"/>
    </row>
    <row r="130" spans="1:15">
      <c r="A130" s="9"/>
      <c r="B130" s="9">
        <v>33154</v>
      </c>
      <c r="C130" s="9">
        <v>32363</v>
      </c>
      <c r="D130" s="9">
        <v>2093</v>
      </c>
      <c r="E130" s="9">
        <v>7811</v>
      </c>
      <c r="F130" s="9">
        <v>3594</v>
      </c>
      <c r="G130" s="9"/>
      <c r="H130" s="9">
        <v>1640</v>
      </c>
      <c r="I130" s="9"/>
      <c r="J130" s="9">
        <v>237</v>
      </c>
      <c r="K130" s="9"/>
      <c r="L130" s="11"/>
      <c r="M130" s="3"/>
      <c r="N130" s="3"/>
      <c r="O130" s="3"/>
    </row>
    <row r="131" spans="1:15">
      <c r="A131" s="9"/>
      <c r="B131" s="3"/>
      <c r="C131" s="3"/>
      <c r="D131" s="3"/>
      <c r="E131" s="3"/>
      <c r="F131" s="3"/>
      <c r="G131" s="3"/>
      <c r="H131" s="3"/>
      <c r="I131" s="3"/>
      <c r="J131" s="3"/>
      <c r="K131" s="9"/>
      <c r="L131" s="9"/>
      <c r="M131" s="3"/>
      <c r="N131" s="3"/>
      <c r="O131" s="3"/>
    </row>
    <row r="132" spans="1:15">
      <c r="A132" s="41" t="s">
        <v>22</v>
      </c>
      <c r="B132" s="37"/>
      <c r="C132" s="37" t="s">
        <v>342</v>
      </c>
      <c r="D132" s="37" t="s">
        <v>342</v>
      </c>
      <c r="E132" s="37" t="s">
        <v>342</v>
      </c>
      <c r="F132" s="37"/>
      <c r="G132" s="37"/>
      <c r="H132" s="37"/>
      <c r="I132" s="37"/>
      <c r="J132" s="37"/>
      <c r="K132" s="40">
        <v>21396</v>
      </c>
      <c r="L132" s="37" t="s">
        <v>343</v>
      </c>
      <c r="M132" s="9">
        <f>SUM(B132:K133)</f>
        <v>71183</v>
      </c>
      <c r="N132" s="3"/>
      <c r="O132" s="3"/>
    </row>
    <row r="133" spans="1:15">
      <c r="A133" s="38"/>
      <c r="B133" s="40"/>
      <c r="C133" s="38">
        <v>35661</v>
      </c>
      <c r="D133" s="38">
        <v>6963</v>
      </c>
      <c r="E133" s="38">
        <v>7163</v>
      </c>
      <c r="F133" s="38"/>
      <c r="G133" s="38"/>
      <c r="H133" s="38"/>
      <c r="I133" s="38"/>
      <c r="J133" s="38"/>
      <c r="K133" s="38"/>
      <c r="L133" s="41"/>
      <c r="M133" s="3"/>
      <c r="N133" s="3"/>
      <c r="O133" s="3"/>
    </row>
    <row r="134" spans="1:15">
      <c r="A134" s="9"/>
      <c r="B134" s="3"/>
      <c r="C134" s="3"/>
      <c r="D134" s="3"/>
      <c r="E134" s="3"/>
      <c r="F134" s="3"/>
      <c r="G134" s="3"/>
      <c r="H134" s="3"/>
      <c r="I134" s="3"/>
      <c r="J134" s="3"/>
      <c r="K134" s="9"/>
      <c r="L134" s="9"/>
      <c r="M134" s="3"/>
      <c r="N134" s="3"/>
      <c r="O134" s="3"/>
    </row>
    <row r="135" spans="1:15">
      <c r="A135" s="11" t="s">
        <v>25</v>
      </c>
      <c r="B135" s="8" t="s">
        <v>410</v>
      </c>
      <c r="C135" s="8" t="s">
        <v>345</v>
      </c>
      <c r="D135" s="8" t="s">
        <v>345</v>
      </c>
      <c r="E135" s="8" t="s">
        <v>345</v>
      </c>
      <c r="F135" s="8" t="s">
        <v>410</v>
      </c>
      <c r="G135" s="8"/>
      <c r="H135" s="8"/>
      <c r="I135" s="8"/>
      <c r="J135" s="8"/>
      <c r="K135" s="9">
        <v>4214</v>
      </c>
      <c r="L135" s="8" t="s">
        <v>346</v>
      </c>
      <c r="M135" s="9">
        <f>SUM(B135:K136)</f>
        <v>96509</v>
      </c>
      <c r="N135" s="3"/>
      <c r="O135" s="3"/>
    </row>
    <row r="136" spans="1:15">
      <c r="A136" s="9"/>
      <c r="B136" s="10">
        <v>28045</v>
      </c>
      <c r="C136" s="9">
        <v>45196</v>
      </c>
      <c r="D136" s="9">
        <v>4580</v>
      </c>
      <c r="E136" s="9">
        <v>9618</v>
      </c>
      <c r="F136" s="9">
        <v>4856</v>
      </c>
      <c r="G136" s="9"/>
      <c r="H136" s="9"/>
      <c r="I136" s="9"/>
      <c r="J136" s="9"/>
      <c r="K136" s="9"/>
      <c r="L136" s="11"/>
      <c r="M136" s="3"/>
      <c r="N136" s="3"/>
      <c r="O136" s="3"/>
    </row>
    <row r="137" spans="1:15">
      <c r="A137" s="9"/>
      <c r="B137" s="3"/>
      <c r="C137" s="3"/>
      <c r="D137" s="3"/>
      <c r="E137" s="3"/>
      <c r="F137" s="3"/>
      <c r="G137" s="3"/>
      <c r="H137" s="3"/>
      <c r="I137" s="3"/>
      <c r="J137" s="3"/>
      <c r="K137" s="9"/>
      <c r="L137" s="9"/>
      <c r="M137" s="3"/>
      <c r="N137" s="3"/>
      <c r="O137" s="3"/>
    </row>
    <row r="138" spans="1:15">
      <c r="A138" s="41" t="s">
        <v>27</v>
      </c>
      <c r="B138" s="37" t="s">
        <v>72</v>
      </c>
      <c r="C138" s="37"/>
      <c r="D138" s="37" t="s">
        <v>72</v>
      </c>
      <c r="E138" s="37"/>
      <c r="F138" s="37" t="s">
        <v>72</v>
      </c>
      <c r="G138" s="37"/>
      <c r="H138" s="37"/>
      <c r="I138" s="37"/>
      <c r="J138" s="37"/>
      <c r="K138" s="38">
        <v>18902</v>
      </c>
      <c r="L138" s="37" t="s">
        <v>92</v>
      </c>
      <c r="M138" s="9">
        <f>SUM(B138:K139)</f>
        <v>74831</v>
      </c>
      <c r="N138" s="3"/>
      <c r="O138" s="3"/>
    </row>
    <row r="139" spans="1:15">
      <c r="A139" s="38"/>
      <c r="B139" s="38">
        <v>43893</v>
      </c>
      <c r="C139" s="38"/>
      <c r="D139" s="38">
        <v>5971</v>
      </c>
      <c r="E139" s="38"/>
      <c r="F139" s="38">
        <v>6065</v>
      </c>
      <c r="G139" s="38"/>
      <c r="H139" s="38"/>
      <c r="I139" s="38"/>
      <c r="J139" s="38"/>
      <c r="K139" s="38"/>
      <c r="L139" s="41"/>
      <c r="M139" s="3"/>
      <c r="N139" s="3"/>
      <c r="O139" s="3"/>
    </row>
    <row r="140" spans="1:15">
      <c r="A140" s="9"/>
      <c r="B140" s="3"/>
      <c r="C140" s="3"/>
      <c r="D140" s="3"/>
      <c r="E140" s="3"/>
      <c r="F140" s="3"/>
      <c r="G140" s="3"/>
      <c r="H140" s="3"/>
      <c r="I140" s="3"/>
      <c r="J140" s="9"/>
      <c r="K140" s="9"/>
      <c r="L140" s="9"/>
      <c r="M140" s="3"/>
      <c r="N140" s="3"/>
      <c r="O140" s="3"/>
    </row>
    <row r="141" spans="1:15">
      <c r="A141" s="11" t="s">
        <v>30</v>
      </c>
      <c r="B141" s="8"/>
      <c r="C141" s="8" t="s">
        <v>86</v>
      </c>
      <c r="D141" s="8" t="s">
        <v>86</v>
      </c>
      <c r="E141" s="8" t="s">
        <v>86</v>
      </c>
      <c r="F141" s="8"/>
      <c r="G141" s="8"/>
      <c r="H141" s="8"/>
      <c r="I141" s="8"/>
      <c r="J141" s="8"/>
      <c r="K141" s="9">
        <v>15827</v>
      </c>
      <c r="L141" s="8" t="s">
        <v>99</v>
      </c>
      <c r="M141" s="9">
        <f>SUM(B141:K142)</f>
        <v>78299</v>
      </c>
      <c r="N141" s="3"/>
      <c r="O141" s="3"/>
    </row>
    <row r="142" spans="1:15">
      <c r="A142" s="9"/>
      <c r="B142" s="11"/>
      <c r="C142" s="9">
        <v>45936</v>
      </c>
      <c r="D142" s="9">
        <v>10061</v>
      </c>
      <c r="E142" s="9">
        <v>6475</v>
      </c>
      <c r="F142" s="9"/>
      <c r="G142" s="9"/>
      <c r="H142" s="9"/>
      <c r="I142" s="9"/>
      <c r="J142" s="9"/>
      <c r="K142" s="9"/>
      <c r="L142" s="11"/>
      <c r="M142" s="3"/>
      <c r="N142" s="3"/>
      <c r="O142" s="3"/>
    </row>
    <row r="143" spans="1:15">
      <c r="A143" s="9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9"/>
      <c r="M143" s="3"/>
      <c r="N143" s="3"/>
      <c r="O143" s="3"/>
    </row>
    <row r="144" spans="1:15">
      <c r="A144" s="41" t="s">
        <v>31</v>
      </c>
      <c r="B144" s="37" t="s">
        <v>411</v>
      </c>
      <c r="C144" s="37" t="s">
        <v>144</v>
      </c>
      <c r="D144" s="37" t="s">
        <v>144</v>
      </c>
      <c r="E144" s="42" t="s">
        <v>144</v>
      </c>
      <c r="F144" s="42" t="s">
        <v>411</v>
      </c>
      <c r="G144" s="42"/>
      <c r="H144" s="42" t="s">
        <v>411</v>
      </c>
      <c r="I144" s="42"/>
      <c r="J144" s="40" t="s">
        <v>412</v>
      </c>
      <c r="K144" s="38">
        <v>2591</v>
      </c>
      <c r="L144" s="37" t="s">
        <v>145</v>
      </c>
      <c r="M144" s="9">
        <f>SUM(B144:K145)</f>
        <v>98153</v>
      </c>
      <c r="N144" s="3"/>
      <c r="O144" s="3"/>
    </row>
    <row r="145" spans="1:15">
      <c r="A145" s="38"/>
      <c r="B145" s="38">
        <v>34153</v>
      </c>
      <c r="C145" s="38">
        <v>40628</v>
      </c>
      <c r="D145" s="38">
        <v>2804</v>
      </c>
      <c r="E145" s="38">
        <v>9267</v>
      </c>
      <c r="F145" s="38">
        <v>5036</v>
      </c>
      <c r="G145" s="38"/>
      <c r="H145" s="38">
        <v>2820</v>
      </c>
      <c r="I145" s="38"/>
      <c r="J145" s="38">
        <v>854</v>
      </c>
      <c r="K145" s="38"/>
      <c r="L145" s="41"/>
      <c r="M145" s="3"/>
      <c r="N145" s="3"/>
      <c r="O145" s="3"/>
    </row>
    <row r="146" spans="1:15">
      <c r="A146" s="9"/>
      <c r="B146" s="3"/>
      <c r="C146" s="3"/>
      <c r="D146" s="3"/>
      <c r="E146" s="3"/>
      <c r="F146" s="3"/>
      <c r="G146" s="3"/>
      <c r="H146" s="3"/>
      <c r="I146" s="3"/>
      <c r="J146" s="3"/>
      <c r="K146" s="9"/>
      <c r="L146" s="9"/>
      <c r="M146" s="3"/>
      <c r="N146" s="3"/>
      <c r="O146" s="3"/>
    </row>
    <row r="147" spans="1:15">
      <c r="A147" s="11" t="s">
        <v>34</v>
      </c>
      <c r="B147" s="8"/>
      <c r="C147" s="8" t="s">
        <v>106</v>
      </c>
      <c r="D147" s="8" t="s">
        <v>106</v>
      </c>
      <c r="E147" s="8" t="s">
        <v>106</v>
      </c>
      <c r="F147" s="8"/>
      <c r="G147" s="8"/>
      <c r="H147" s="8"/>
      <c r="I147" s="8"/>
      <c r="J147" s="8"/>
      <c r="K147" s="9">
        <v>14309</v>
      </c>
      <c r="L147" s="8" t="s">
        <v>135</v>
      </c>
      <c r="M147" s="9">
        <f>SUM(B147:K148)</f>
        <v>66773</v>
      </c>
      <c r="N147" s="3"/>
      <c r="O147" s="3"/>
    </row>
    <row r="148" spans="1:15">
      <c r="A148" s="9"/>
      <c r="B148" s="11"/>
      <c r="C148" s="9">
        <v>40620</v>
      </c>
      <c r="D148" s="9">
        <v>6550</v>
      </c>
      <c r="E148" s="9">
        <v>5294</v>
      </c>
      <c r="F148" s="9"/>
      <c r="G148" s="9"/>
      <c r="H148" s="9"/>
      <c r="I148" s="9"/>
      <c r="J148" s="9"/>
      <c r="K148" s="9"/>
      <c r="L148" s="11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41" t="s">
        <v>37</v>
      </c>
      <c r="B150" s="42"/>
      <c r="C150" s="42" t="s">
        <v>126</v>
      </c>
      <c r="D150" s="42" t="s">
        <v>126</v>
      </c>
      <c r="E150" s="42" t="s">
        <v>126</v>
      </c>
      <c r="F150" s="42"/>
      <c r="G150" s="42"/>
      <c r="H150" s="42"/>
      <c r="I150" s="42"/>
      <c r="J150" s="42"/>
      <c r="K150" s="40">
        <v>12821</v>
      </c>
      <c r="L150" s="42" t="s">
        <v>133</v>
      </c>
      <c r="M150" s="9">
        <f>SUM(B150:K151)</f>
        <v>68121</v>
      </c>
      <c r="N150" s="3"/>
      <c r="O150" s="3"/>
    </row>
    <row r="151" spans="1:15">
      <c r="A151" s="39"/>
      <c r="B151" s="38"/>
      <c r="C151" s="38">
        <v>42718</v>
      </c>
      <c r="D151" s="38">
        <v>6501</v>
      </c>
      <c r="E151" s="38">
        <v>6081</v>
      </c>
      <c r="F151" s="38"/>
      <c r="G151" s="38"/>
      <c r="H151" s="38"/>
      <c r="I151" s="38"/>
      <c r="J151" s="38"/>
      <c r="K151" s="39"/>
      <c r="L151" s="39"/>
      <c r="M151" s="9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9"/>
      <c r="N152" s="3"/>
      <c r="O152" s="3"/>
    </row>
    <row r="153" spans="1:15">
      <c r="A153" s="11" t="s">
        <v>39</v>
      </c>
      <c r="B153" s="8" t="s">
        <v>413</v>
      </c>
      <c r="C153" s="8" t="s">
        <v>414</v>
      </c>
      <c r="D153" s="8" t="s">
        <v>414</v>
      </c>
      <c r="E153" s="8" t="s">
        <v>414</v>
      </c>
      <c r="F153" s="8" t="s">
        <v>413</v>
      </c>
      <c r="G153" s="8"/>
      <c r="H153" s="8"/>
      <c r="I153" s="8"/>
      <c r="J153" s="8" t="s">
        <v>415</v>
      </c>
      <c r="K153" s="9">
        <v>3226</v>
      </c>
      <c r="L153" s="8" t="s">
        <v>416</v>
      </c>
      <c r="M153" s="9">
        <f>SUM(B153:K154)</f>
        <v>85101</v>
      </c>
      <c r="N153" s="3"/>
      <c r="O153" s="3"/>
    </row>
    <row r="154" spans="1:15">
      <c r="A154" s="9"/>
      <c r="B154" s="9">
        <v>25768</v>
      </c>
      <c r="C154" s="9">
        <v>40680</v>
      </c>
      <c r="D154" s="9">
        <v>2873</v>
      </c>
      <c r="E154" s="9">
        <v>7413</v>
      </c>
      <c r="F154" s="9">
        <v>4215</v>
      </c>
      <c r="G154" s="9"/>
      <c r="H154" s="9"/>
      <c r="I154" s="9"/>
      <c r="J154" s="9">
        <v>926</v>
      </c>
      <c r="K154" s="9"/>
      <c r="L154" s="11"/>
      <c r="M154" s="9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9"/>
      <c r="N155" s="3"/>
      <c r="O155" s="3"/>
    </row>
    <row r="156" spans="1:15">
      <c r="A156" s="41" t="s">
        <v>43</v>
      </c>
      <c r="B156" s="37"/>
      <c r="C156" s="37" t="s">
        <v>87</v>
      </c>
      <c r="D156" s="37" t="s">
        <v>87</v>
      </c>
      <c r="E156" s="37" t="s">
        <v>87</v>
      </c>
      <c r="F156" s="37"/>
      <c r="G156" s="37"/>
      <c r="H156" s="37"/>
      <c r="I156" s="37"/>
      <c r="J156" s="37"/>
      <c r="K156" s="38">
        <v>20479</v>
      </c>
      <c r="L156" s="37" t="s">
        <v>40</v>
      </c>
      <c r="M156" s="9">
        <f>SUM(B156:K157)</f>
        <v>95286</v>
      </c>
      <c r="N156" s="3"/>
      <c r="O156" s="3"/>
    </row>
    <row r="157" spans="1:15">
      <c r="A157" s="38"/>
      <c r="B157" s="41"/>
      <c r="C157" s="38">
        <v>54896</v>
      </c>
      <c r="D157" s="38">
        <v>10507</v>
      </c>
      <c r="E157" s="38">
        <v>9404</v>
      </c>
      <c r="F157" s="38"/>
      <c r="G157" s="38"/>
      <c r="H157" s="38"/>
      <c r="I157" s="38"/>
      <c r="J157" s="38"/>
      <c r="K157" s="38"/>
      <c r="L157" s="41"/>
      <c r="M157" s="9"/>
      <c r="N157" s="3"/>
      <c r="O157" s="3"/>
    </row>
    <row r="158" spans="1:15">
      <c r="A158" s="9"/>
      <c r="B158" s="3"/>
      <c r="C158" s="3"/>
      <c r="D158" s="3"/>
      <c r="E158" s="3"/>
      <c r="F158" s="3"/>
      <c r="G158" s="3"/>
      <c r="H158" s="3"/>
      <c r="I158" s="3"/>
      <c r="J158" s="3"/>
      <c r="K158" s="9"/>
      <c r="L158" s="9"/>
      <c r="M158" s="9"/>
      <c r="N158" s="3"/>
      <c r="O158" s="3"/>
    </row>
    <row r="159" spans="1:15">
      <c r="A159" s="11" t="s">
        <v>46</v>
      </c>
      <c r="B159" s="8"/>
      <c r="C159" s="8" t="s">
        <v>88</v>
      </c>
      <c r="D159" s="8" t="s">
        <v>88</v>
      </c>
      <c r="E159" s="8" t="s">
        <v>88</v>
      </c>
      <c r="F159" s="8"/>
      <c r="G159" s="8"/>
      <c r="H159" s="8"/>
      <c r="I159" s="8"/>
      <c r="J159" s="8"/>
      <c r="K159" s="9">
        <v>18332</v>
      </c>
      <c r="L159" s="8" t="s">
        <v>44</v>
      </c>
      <c r="M159" s="9">
        <f>SUM(B159:K160)</f>
        <v>79489</v>
      </c>
      <c r="N159" s="3"/>
      <c r="O159" s="3"/>
    </row>
    <row r="160" spans="1:15">
      <c r="A160" s="9"/>
      <c r="B160" s="9"/>
      <c r="C160" s="9">
        <v>46867</v>
      </c>
      <c r="D160" s="9">
        <v>7557</v>
      </c>
      <c r="E160" s="9">
        <v>6733</v>
      </c>
      <c r="F160" s="9"/>
      <c r="G160" s="9"/>
      <c r="H160" s="9"/>
      <c r="I160" s="9"/>
      <c r="J160" s="9"/>
      <c r="K160" s="9"/>
      <c r="L160" s="11"/>
      <c r="M160" s="9"/>
      <c r="N160" s="3"/>
      <c r="O160" s="3"/>
    </row>
    <row r="161" spans="1:15">
      <c r="A161" s="9"/>
      <c r="B161" s="3"/>
      <c r="C161" s="3"/>
      <c r="D161" s="3"/>
      <c r="E161" s="3"/>
      <c r="F161" s="3"/>
      <c r="G161" s="3"/>
      <c r="H161" s="3"/>
      <c r="I161" s="3"/>
      <c r="J161" s="3"/>
      <c r="K161" s="9"/>
      <c r="L161" s="9"/>
      <c r="M161" s="9"/>
      <c r="N161" s="3"/>
      <c r="O161" s="3"/>
    </row>
    <row r="162" spans="1:15">
      <c r="A162" s="41" t="s">
        <v>48</v>
      </c>
      <c r="B162" s="37" t="s">
        <v>417</v>
      </c>
      <c r="C162" s="37" t="s">
        <v>418</v>
      </c>
      <c r="D162" s="37" t="s">
        <v>418</v>
      </c>
      <c r="E162" s="37" t="s">
        <v>418</v>
      </c>
      <c r="F162" s="37" t="s">
        <v>417</v>
      </c>
      <c r="G162" s="37"/>
      <c r="H162" s="37"/>
      <c r="I162" s="37"/>
      <c r="J162" s="37"/>
      <c r="K162" s="38">
        <v>3162</v>
      </c>
      <c r="L162" s="37" t="s">
        <v>419</v>
      </c>
      <c r="M162" s="9">
        <f>SUM(B162:K163)</f>
        <v>77212</v>
      </c>
      <c r="N162" s="3"/>
      <c r="O162" s="3"/>
    </row>
    <row r="163" spans="1:15">
      <c r="A163" s="38"/>
      <c r="B163" s="38">
        <v>24024</v>
      </c>
      <c r="C163" s="38">
        <v>39842</v>
      </c>
      <c r="D163" s="38">
        <v>2313</v>
      </c>
      <c r="E163" s="38">
        <v>3915</v>
      </c>
      <c r="F163" s="38">
        <v>3956</v>
      </c>
      <c r="G163" s="38"/>
      <c r="H163" s="38"/>
      <c r="I163" s="38"/>
      <c r="J163" s="38"/>
      <c r="K163" s="38"/>
      <c r="L163" s="41"/>
      <c r="M163" s="9"/>
      <c r="N163" s="3"/>
      <c r="O163" s="3"/>
    </row>
    <row r="164" spans="1:15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41"/>
      <c r="M164" s="9"/>
      <c r="N164" s="3"/>
      <c r="O164" s="3"/>
    </row>
    <row r="165" spans="1:15" ht="17.25">
      <c r="A165" s="41" t="s">
        <v>442</v>
      </c>
      <c r="B165" s="40" t="s">
        <v>443</v>
      </c>
      <c r="C165" s="40" t="s">
        <v>181</v>
      </c>
      <c r="D165" s="40" t="s">
        <v>181</v>
      </c>
      <c r="E165" s="40" t="s">
        <v>181</v>
      </c>
      <c r="F165" s="40" t="s">
        <v>443</v>
      </c>
      <c r="G165" s="40"/>
      <c r="H165" s="40"/>
      <c r="I165" s="40"/>
      <c r="J165" s="40"/>
      <c r="K165" s="38">
        <v>1765</v>
      </c>
      <c r="L165" s="37" t="s">
        <v>182</v>
      </c>
      <c r="M165" s="9"/>
      <c r="N165" s="3"/>
      <c r="O165" s="3"/>
    </row>
    <row r="166" spans="1:15">
      <c r="A166" s="38"/>
      <c r="B166" s="38">
        <v>11209</v>
      </c>
      <c r="C166" s="38">
        <v>37650</v>
      </c>
      <c r="D166" s="38">
        <v>3753</v>
      </c>
      <c r="E166" s="38">
        <v>3754</v>
      </c>
      <c r="F166" s="38">
        <v>1134</v>
      </c>
      <c r="G166" s="38"/>
      <c r="H166" s="38"/>
      <c r="I166" s="38"/>
      <c r="J166" s="38"/>
      <c r="K166" s="38"/>
      <c r="L166" s="41"/>
      <c r="M166" s="9"/>
      <c r="N166" s="3"/>
      <c r="O166" s="3"/>
    </row>
    <row r="167" spans="1:15">
      <c r="A167" s="9"/>
      <c r="B167" s="3"/>
      <c r="C167" s="3"/>
      <c r="D167" s="3"/>
      <c r="E167" s="3"/>
      <c r="F167" s="3"/>
      <c r="G167" s="3"/>
      <c r="H167" s="3"/>
      <c r="I167" s="3"/>
      <c r="J167" s="3"/>
      <c r="K167" s="9"/>
      <c r="L167" s="9"/>
      <c r="M167" s="9"/>
      <c r="N167" s="3"/>
      <c r="O167" s="3"/>
    </row>
    <row r="168" spans="1:15">
      <c r="A168" s="11" t="s">
        <v>50</v>
      </c>
      <c r="B168" s="8" t="s">
        <v>98</v>
      </c>
      <c r="C168" s="8"/>
      <c r="D168" s="8" t="s">
        <v>98</v>
      </c>
      <c r="E168" s="8"/>
      <c r="F168" s="8"/>
      <c r="G168" s="8"/>
      <c r="H168" s="8"/>
      <c r="I168" s="8"/>
      <c r="J168" s="8"/>
      <c r="K168" s="9">
        <v>20717</v>
      </c>
      <c r="L168" s="8" t="s">
        <v>110</v>
      </c>
      <c r="M168" s="9">
        <f>SUM(B168:K169)</f>
        <v>71769</v>
      </c>
      <c r="N168" s="3"/>
      <c r="O168" s="3"/>
    </row>
    <row r="169" spans="1:15">
      <c r="A169" s="9"/>
      <c r="B169" s="11">
        <v>41789</v>
      </c>
      <c r="C169" s="9"/>
      <c r="D169" s="9">
        <v>9263</v>
      </c>
      <c r="E169" s="9"/>
      <c r="F169" s="9"/>
      <c r="G169" s="9"/>
      <c r="H169" s="9"/>
      <c r="I169" s="9"/>
      <c r="J169" s="9"/>
      <c r="K169" s="9"/>
      <c r="L169" s="11"/>
      <c r="M169" s="9"/>
      <c r="N169" s="3"/>
      <c r="O169" s="3"/>
    </row>
    <row r="170" spans="1:15">
      <c r="A170" s="9"/>
      <c r="B170" s="3"/>
      <c r="C170" s="3"/>
      <c r="D170" s="3"/>
      <c r="E170" s="3"/>
      <c r="F170" s="3"/>
      <c r="G170" s="3"/>
      <c r="H170" s="3"/>
      <c r="I170" s="3"/>
      <c r="J170" s="3"/>
      <c r="K170" s="9"/>
      <c r="L170" s="9"/>
      <c r="M170" s="9"/>
      <c r="N170" s="3"/>
      <c r="O170" s="3"/>
    </row>
    <row r="171" spans="1:15">
      <c r="A171" s="41" t="s">
        <v>51</v>
      </c>
      <c r="B171" s="37"/>
      <c r="C171" s="37" t="s">
        <v>420</v>
      </c>
      <c r="D171" s="37" t="s">
        <v>420</v>
      </c>
      <c r="E171" s="37" t="s">
        <v>420</v>
      </c>
      <c r="F171" s="37"/>
      <c r="G171" s="37"/>
      <c r="H171" s="37"/>
      <c r="I171" s="37"/>
      <c r="J171" s="37"/>
      <c r="K171" s="38">
        <v>15976</v>
      </c>
      <c r="L171" s="37" t="s">
        <v>421</v>
      </c>
      <c r="M171" s="9">
        <f>SUM(B171:K172)</f>
        <v>83849</v>
      </c>
      <c r="N171" s="3"/>
      <c r="O171" s="3"/>
    </row>
    <row r="172" spans="1:15">
      <c r="A172" s="38"/>
      <c r="B172" s="38"/>
      <c r="C172" s="38">
        <v>50967</v>
      </c>
      <c r="D172" s="38">
        <v>7089</v>
      </c>
      <c r="E172" s="38">
        <v>9817</v>
      </c>
      <c r="F172" s="38"/>
      <c r="G172" s="38"/>
      <c r="H172" s="38"/>
      <c r="I172" s="38"/>
      <c r="J172" s="41"/>
      <c r="K172" s="38"/>
      <c r="L172" s="41"/>
      <c r="M172" s="9"/>
      <c r="N172" s="3"/>
      <c r="O172" s="3"/>
    </row>
    <row r="173" spans="1:15">
      <c r="A173" s="9"/>
      <c r="B173" s="3"/>
      <c r="C173" s="3"/>
      <c r="D173" s="3"/>
      <c r="E173" s="3"/>
      <c r="F173" s="3"/>
      <c r="G173" s="3"/>
      <c r="H173" s="3"/>
      <c r="I173" s="3"/>
      <c r="J173" s="3"/>
      <c r="K173" s="9"/>
      <c r="L173" s="9"/>
      <c r="M173" s="9"/>
      <c r="N173" s="3"/>
      <c r="O173" s="3"/>
    </row>
    <row r="174" spans="1:15">
      <c r="A174" s="11" t="s">
        <v>53</v>
      </c>
      <c r="B174" s="8" t="s">
        <v>422</v>
      </c>
      <c r="C174" s="8" t="s">
        <v>155</v>
      </c>
      <c r="D174" s="8" t="s">
        <v>155</v>
      </c>
      <c r="E174" s="8" t="s">
        <v>155</v>
      </c>
      <c r="F174" s="8" t="s">
        <v>422</v>
      </c>
      <c r="G174" s="8"/>
      <c r="H174" s="8"/>
      <c r="I174" s="8"/>
      <c r="J174" s="8" t="s">
        <v>423</v>
      </c>
      <c r="K174" s="9">
        <v>1491</v>
      </c>
      <c r="L174" s="8" t="s">
        <v>156</v>
      </c>
      <c r="M174" s="9">
        <f>SUM(B174:K175)</f>
        <v>94989</v>
      </c>
      <c r="N174" s="3"/>
      <c r="O174" s="3"/>
    </row>
    <row r="175" spans="1:15">
      <c r="A175" s="9"/>
      <c r="B175" s="9">
        <v>34777</v>
      </c>
      <c r="C175" s="9">
        <v>43270</v>
      </c>
      <c r="D175" s="9">
        <v>2640</v>
      </c>
      <c r="E175" s="9">
        <v>7943</v>
      </c>
      <c r="F175" s="9">
        <v>3847</v>
      </c>
      <c r="G175" s="9"/>
      <c r="H175" s="9"/>
      <c r="I175" s="9"/>
      <c r="J175" s="9">
        <v>1021</v>
      </c>
      <c r="K175" s="9"/>
      <c r="L175" s="11"/>
      <c r="M175" s="9"/>
      <c r="N175" s="3"/>
      <c r="O175" s="3"/>
    </row>
    <row r="176" spans="1:15">
      <c r="A176" s="9"/>
      <c r="B176" s="3"/>
      <c r="C176" s="3"/>
      <c r="D176" s="3"/>
      <c r="E176" s="3"/>
      <c r="F176" s="3"/>
      <c r="G176" s="3"/>
      <c r="H176" s="3"/>
      <c r="I176" s="3"/>
      <c r="J176" s="3"/>
      <c r="K176" s="9"/>
      <c r="L176" s="9"/>
      <c r="M176" s="9"/>
      <c r="N176" s="3"/>
      <c r="O176" s="3"/>
    </row>
    <row r="177" spans="1:15">
      <c r="A177" s="41" t="s">
        <v>55</v>
      </c>
      <c r="B177" s="37"/>
      <c r="C177" s="37" t="s">
        <v>89</v>
      </c>
      <c r="D177" s="37" t="s">
        <v>89</v>
      </c>
      <c r="E177" s="37" t="s">
        <v>89</v>
      </c>
      <c r="F177" s="37"/>
      <c r="G177" s="37"/>
      <c r="H177" s="37"/>
      <c r="I177" s="37"/>
      <c r="J177" s="37"/>
      <c r="K177" s="38">
        <v>17079</v>
      </c>
      <c r="L177" s="37" t="s">
        <v>90</v>
      </c>
      <c r="M177" s="9">
        <f>SUM(B177:K178)</f>
        <v>68894</v>
      </c>
      <c r="N177" s="3"/>
      <c r="O177" s="3"/>
    </row>
    <row r="178" spans="1:15">
      <c r="A178" s="38"/>
      <c r="B178" s="40"/>
      <c r="C178" s="40">
        <v>36330</v>
      </c>
      <c r="D178" s="40">
        <v>7370</v>
      </c>
      <c r="E178" s="40">
        <v>8115</v>
      </c>
      <c r="F178" s="40"/>
      <c r="G178" s="40"/>
      <c r="H178" s="40"/>
      <c r="I178" s="40"/>
      <c r="J178" s="38"/>
      <c r="K178" s="38"/>
      <c r="L178" s="41"/>
      <c r="M178" s="9"/>
      <c r="N178" s="3"/>
      <c r="O178" s="3"/>
    </row>
    <row r="179" spans="1:15">
      <c r="A179" s="9"/>
      <c r="B179" s="3"/>
      <c r="C179" s="3"/>
      <c r="D179" s="3"/>
      <c r="E179" s="3"/>
      <c r="F179" s="3"/>
      <c r="G179" s="3"/>
      <c r="H179" s="3"/>
      <c r="I179" s="3"/>
      <c r="J179" s="3"/>
      <c r="K179" s="9"/>
      <c r="L179" s="9"/>
      <c r="M179" s="9"/>
      <c r="N179" s="3"/>
      <c r="O179" s="3"/>
    </row>
    <row r="180" spans="1:15">
      <c r="A180" s="11" t="s">
        <v>57</v>
      </c>
      <c r="B180" s="8"/>
      <c r="C180" s="8" t="s">
        <v>100</v>
      </c>
      <c r="D180" s="8" t="s">
        <v>100</v>
      </c>
      <c r="E180" s="8" t="s">
        <v>100</v>
      </c>
      <c r="F180" s="8"/>
      <c r="G180" s="8"/>
      <c r="H180" s="8"/>
      <c r="I180" s="8"/>
      <c r="J180" s="8"/>
      <c r="K180" s="9">
        <v>10254</v>
      </c>
      <c r="L180" s="10" t="s">
        <v>115</v>
      </c>
      <c r="M180" s="9">
        <f>SUM(B180:K181)</f>
        <v>76252</v>
      </c>
      <c r="N180" s="3"/>
      <c r="O180" s="3"/>
    </row>
    <row r="181" spans="1:15">
      <c r="A181" s="9"/>
      <c r="B181" s="10"/>
      <c r="C181" s="10">
        <v>50968</v>
      </c>
      <c r="D181" s="10">
        <v>6692</v>
      </c>
      <c r="E181" s="10">
        <v>8338</v>
      </c>
      <c r="F181" s="10"/>
      <c r="G181" s="10"/>
      <c r="H181" s="10"/>
      <c r="I181" s="10"/>
      <c r="J181" s="9"/>
      <c r="K181" s="9"/>
      <c r="L181" s="11"/>
      <c r="M181" s="9"/>
      <c r="N181" s="3"/>
      <c r="O181" s="3"/>
    </row>
    <row r="182" spans="1:15">
      <c r="A182" s="9"/>
      <c r="B182" s="3"/>
      <c r="C182" s="3"/>
      <c r="D182" s="3"/>
      <c r="E182" s="3"/>
      <c r="F182" s="3"/>
      <c r="G182" s="3"/>
      <c r="H182" s="3"/>
      <c r="I182" s="3"/>
      <c r="J182" s="3"/>
      <c r="K182" s="9"/>
      <c r="L182" s="9"/>
      <c r="M182" s="9"/>
      <c r="N182" s="3"/>
      <c r="O182" s="3"/>
    </row>
    <row r="183" spans="1:15">
      <c r="A183" s="41" t="s">
        <v>60</v>
      </c>
      <c r="B183" s="37"/>
      <c r="C183" s="37" t="s">
        <v>127</v>
      </c>
      <c r="D183" s="37" t="s">
        <v>127</v>
      </c>
      <c r="E183" s="37" t="s">
        <v>127</v>
      </c>
      <c r="F183" s="37"/>
      <c r="G183" s="37"/>
      <c r="H183" s="37"/>
      <c r="I183" s="37"/>
      <c r="J183" s="40"/>
      <c r="K183" s="38">
        <v>22200</v>
      </c>
      <c r="L183" s="37" t="s">
        <v>128</v>
      </c>
      <c r="M183" s="9">
        <f>SUM(B183:K184)</f>
        <v>79005</v>
      </c>
      <c r="N183" s="3"/>
      <c r="O183" s="3"/>
    </row>
    <row r="184" spans="1:15">
      <c r="A184" s="38"/>
      <c r="B184" s="40"/>
      <c r="C184" s="38">
        <v>45375</v>
      </c>
      <c r="D184" s="40">
        <v>5400</v>
      </c>
      <c r="E184" s="40">
        <v>6030</v>
      </c>
      <c r="F184" s="40"/>
      <c r="G184" s="40"/>
      <c r="H184" s="40"/>
      <c r="I184" s="40"/>
      <c r="J184" s="38"/>
      <c r="K184" s="38"/>
      <c r="L184" s="41"/>
      <c r="M184" s="9"/>
      <c r="N184" s="3"/>
      <c r="O184" s="3"/>
    </row>
    <row r="185" spans="1:15">
      <c r="A185" s="9"/>
      <c r="B185" s="3"/>
      <c r="C185" s="3"/>
      <c r="D185" s="3"/>
      <c r="E185" s="3"/>
      <c r="F185" s="3"/>
      <c r="G185" s="3"/>
      <c r="H185" s="3"/>
      <c r="I185" s="3"/>
      <c r="J185" s="3"/>
      <c r="K185" s="9"/>
      <c r="L185" s="9"/>
      <c r="M185" s="9"/>
      <c r="N185" s="3"/>
      <c r="O185" s="3"/>
    </row>
    <row r="186" spans="1:15">
      <c r="A186" s="11" t="s">
        <v>61</v>
      </c>
      <c r="B186" s="8"/>
      <c r="C186" s="8" t="s">
        <v>131</v>
      </c>
      <c r="D186" s="8" t="s">
        <v>131</v>
      </c>
      <c r="E186" s="8" t="s">
        <v>131</v>
      </c>
      <c r="F186" s="8"/>
      <c r="G186" s="8"/>
      <c r="H186" s="8"/>
      <c r="I186" s="8"/>
      <c r="J186" s="10"/>
      <c r="K186" s="9">
        <v>17104</v>
      </c>
      <c r="L186" s="8" t="s">
        <v>132</v>
      </c>
      <c r="M186" s="9">
        <f>SUM(B186:K187)</f>
        <v>88733</v>
      </c>
      <c r="N186" s="3"/>
      <c r="O186" s="3"/>
    </row>
    <row r="187" spans="1:15">
      <c r="A187" s="9"/>
      <c r="B187" s="10"/>
      <c r="C187" s="9">
        <v>49409</v>
      </c>
      <c r="D187" s="10">
        <v>8920</v>
      </c>
      <c r="E187" s="10">
        <v>13300</v>
      </c>
      <c r="F187" s="10"/>
      <c r="G187" s="10"/>
      <c r="H187" s="10"/>
      <c r="I187" s="10"/>
      <c r="J187" s="9"/>
      <c r="K187" s="9"/>
      <c r="L187" s="11"/>
      <c r="M187" s="9"/>
      <c r="N187" s="3"/>
      <c r="O187" s="3"/>
    </row>
    <row r="188" spans="1:15">
      <c r="A188" s="9"/>
      <c r="B188" s="3"/>
      <c r="C188" s="3"/>
      <c r="D188" s="3"/>
      <c r="E188" s="3"/>
      <c r="F188" s="3"/>
      <c r="G188" s="3"/>
      <c r="H188" s="3"/>
      <c r="I188" s="3"/>
      <c r="J188" s="3"/>
      <c r="K188" s="9"/>
      <c r="L188" s="9"/>
      <c r="M188" s="9"/>
      <c r="N188" s="3"/>
      <c r="O188" s="3"/>
    </row>
    <row r="189" spans="1:15">
      <c r="A189" s="41" t="s">
        <v>62</v>
      </c>
      <c r="B189" s="37" t="s">
        <v>424</v>
      </c>
      <c r="C189" s="37" t="s">
        <v>425</v>
      </c>
      <c r="D189" s="37" t="s">
        <v>426</v>
      </c>
      <c r="E189" s="37" t="s">
        <v>427</v>
      </c>
      <c r="F189" s="37" t="s">
        <v>424</v>
      </c>
      <c r="G189" s="37"/>
      <c r="H189" s="37"/>
      <c r="I189" s="37"/>
      <c r="J189" s="40"/>
      <c r="K189" s="38">
        <v>2850</v>
      </c>
      <c r="L189" s="37" t="s">
        <v>428</v>
      </c>
      <c r="M189" s="9">
        <f>SUM(B189:K190)</f>
        <v>83761</v>
      </c>
      <c r="N189" s="3"/>
      <c r="O189" s="3"/>
    </row>
    <row r="190" spans="1:15">
      <c r="A190" s="38"/>
      <c r="B190" s="40">
        <v>22419</v>
      </c>
      <c r="C190" s="40">
        <v>24966</v>
      </c>
      <c r="D190" s="40">
        <v>22734</v>
      </c>
      <c r="E190" s="40">
        <v>6796</v>
      </c>
      <c r="F190" s="40">
        <v>3996</v>
      </c>
      <c r="G190" s="40"/>
      <c r="H190" s="40"/>
      <c r="I190" s="40"/>
      <c r="J190" s="40"/>
      <c r="K190" s="38"/>
      <c r="L190" s="41"/>
      <c r="M190" s="9"/>
      <c r="N190" s="3"/>
      <c r="O190" s="3"/>
    </row>
    <row r="191" spans="1:15">
      <c r="A191" s="9"/>
      <c r="B191" s="26"/>
      <c r="C191" s="27"/>
      <c r="D191" s="27"/>
      <c r="E191" s="27"/>
      <c r="F191" s="27"/>
      <c r="G191" s="27"/>
      <c r="H191" s="27"/>
      <c r="I191" s="27"/>
      <c r="J191" s="9"/>
      <c r="K191" s="9"/>
      <c r="L191" s="9"/>
      <c r="M191" s="9"/>
      <c r="N191" s="3"/>
      <c r="O191" s="3"/>
    </row>
    <row r="192" spans="1:15">
      <c r="A192" s="11" t="s">
        <v>64</v>
      </c>
      <c r="B192" s="8" t="s">
        <v>429</v>
      </c>
      <c r="C192" s="8" t="s">
        <v>111</v>
      </c>
      <c r="D192" s="8" t="s">
        <v>111</v>
      </c>
      <c r="E192" s="8" t="s">
        <v>111</v>
      </c>
      <c r="F192" s="8" t="s">
        <v>429</v>
      </c>
      <c r="G192" s="8"/>
      <c r="H192" s="8"/>
      <c r="I192" s="8"/>
      <c r="J192" s="8" t="s">
        <v>430</v>
      </c>
      <c r="K192" s="9">
        <v>4063</v>
      </c>
      <c r="L192" s="8" t="s">
        <v>112</v>
      </c>
      <c r="M192" s="9">
        <f>SUM(B192:K193)</f>
        <v>82610</v>
      </c>
      <c r="N192" s="3"/>
      <c r="O192" s="3"/>
    </row>
    <row r="193" spans="1:15">
      <c r="A193" s="9"/>
      <c r="B193" s="10">
        <v>23632</v>
      </c>
      <c r="C193" s="10">
        <v>38845</v>
      </c>
      <c r="D193" s="10">
        <v>2974</v>
      </c>
      <c r="E193" s="10">
        <v>9265</v>
      </c>
      <c r="F193" s="10">
        <v>3204</v>
      </c>
      <c r="G193" s="10"/>
      <c r="H193" s="10"/>
      <c r="I193" s="10"/>
      <c r="J193" s="10">
        <v>627</v>
      </c>
      <c r="K193" s="9"/>
      <c r="L193" s="9"/>
      <c r="M193" s="9"/>
      <c r="N193" s="3"/>
      <c r="O193" s="3"/>
    </row>
    <row r="194" spans="1:15">
      <c r="A194" s="9"/>
      <c r="B194" s="10"/>
      <c r="C194" s="10"/>
      <c r="D194" s="10"/>
      <c r="E194" s="10"/>
      <c r="F194" s="10"/>
      <c r="G194" s="10"/>
      <c r="H194" s="10"/>
      <c r="I194" s="10"/>
      <c r="J194" s="10"/>
      <c r="K194" s="9"/>
      <c r="L194" s="9"/>
      <c r="M194" s="9"/>
      <c r="N194" s="3"/>
      <c r="O194" s="3"/>
    </row>
    <row r="195" spans="1:15">
      <c r="A195" s="38" t="s">
        <v>91</v>
      </c>
      <c r="B195" s="40" t="s">
        <v>431</v>
      </c>
      <c r="C195" s="40" t="s">
        <v>157</v>
      </c>
      <c r="D195" s="40" t="s">
        <v>157</v>
      </c>
      <c r="E195" s="40" t="s">
        <v>157</v>
      </c>
      <c r="F195" s="40" t="s">
        <v>432</v>
      </c>
      <c r="G195" s="40"/>
      <c r="H195" s="40"/>
      <c r="I195" s="40"/>
      <c r="J195" s="40"/>
      <c r="K195" s="38">
        <v>3207</v>
      </c>
      <c r="L195" s="40" t="s">
        <v>158</v>
      </c>
      <c r="M195" s="9">
        <f>SUM(B195:K196)</f>
        <v>74331</v>
      </c>
      <c r="N195" s="3"/>
      <c r="O195" s="3"/>
    </row>
    <row r="196" spans="1:15">
      <c r="A196" s="38"/>
      <c r="B196" s="40">
        <v>21678</v>
      </c>
      <c r="C196" s="40">
        <v>35914</v>
      </c>
      <c r="D196" s="40">
        <v>2694</v>
      </c>
      <c r="E196" s="40">
        <v>8998</v>
      </c>
      <c r="F196" s="40">
        <v>1840</v>
      </c>
      <c r="G196" s="40"/>
      <c r="H196" s="40"/>
      <c r="I196" s="40"/>
      <c r="J196" s="40"/>
      <c r="K196" s="38"/>
      <c r="L196" s="38"/>
      <c r="M196" s="9"/>
      <c r="N196" s="3"/>
      <c r="O196" s="3"/>
    </row>
    <row r="197" spans="1:15">
      <c r="A197" s="9"/>
      <c r="B197" s="10"/>
      <c r="C197" s="10"/>
      <c r="D197" s="10"/>
      <c r="E197" s="10"/>
      <c r="F197" s="10"/>
      <c r="G197" s="10"/>
      <c r="H197" s="10"/>
      <c r="I197" s="10"/>
      <c r="J197" s="10"/>
      <c r="K197" s="9"/>
      <c r="L197" s="9"/>
      <c r="M197" s="9"/>
      <c r="N197" s="3"/>
      <c r="O197" s="3"/>
    </row>
    <row r="198" spans="1:15">
      <c r="A198" s="9" t="s">
        <v>146</v>
      </c>
      <c r="B198" s="10" t="s">
        <v>129</v>
      </c>
      <c r="C198" s="10" t="s">
        <v>433</v>
      </c>
      <c r="D198" s="10" t="s">
        <v>129</v>
      </c>
      <c r="E198" s="10" t="s">
        <v>434</v>
      </c>
      <c r="F198" s="10" t="s">
        <v>129</v>
      </c>
      <c r="G198" s="10"/>
      <c r="H198" s="10"/>
      <c r="I198" s="10"/>
      <c r="J198" s="10"/>
      <c r="K198" s="9">
        <v>4843</v>
      </c>
      <c r="L198" s="10" t="s">
        <v>130</v>
      </c>
      <c r="M198" s="9">
        <f>SUM(B198:K199)</f>
        <v>59094</v>
      </c>
      <c r="N198" s="3"/>
      <c r="O198" s="3"/>
    </row>
    <row r="199" spans="1:15">
      <c r="A199" s="9"/>
      <c r="B199" s="10">
        <v>36778</v>
      </c>
      <c r="C199" s="10">
        <v>8538</v>
      </c>
      <c r="D199" s="10">
        <v>2001</v>
      </c>
      <c r="E199" s="10">
        <v>3435</v>
      </c>
      <c r="F199" s="10">
        <v>3499</v>
      </c>
      <c r="G199" s="10"/>
      <c r="H199" s="10"/>
      <c r="I199" s="10"/>
      <c r="J199" s="10"/>
      <c r="K199" s="9"/>
      <c r="L199" s="9"/>
      <c r="M199" s="9"/>
      <c r="N199" s="3"/>
      <c r="O199" s="3"/>
    </row>
    <row r="200" spans="1:15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9"/>
      <c r="N200" s="3"/>
      <c r="O200" s="3"/>
    </row>
    <row r="201" spans="1:15">
      <c r="A201" s="11" t="s">
        <v>66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9"/>
      <c r="N201" s="3"/>
      <c r="O201" s="3"/>
    </row>
    <row r="202" spans="1:15">
      <c r="A202" s="17" t="s">
        <v>435</v>
      </c>
      <c r="B202" s="15"/>
      <c r="C202" s="15"/>
      <c r="D202" s="3"/>
      <c r="E202" s="3"/>
      <c r="F202" s="3"/>
      <c r="G202" s="3"/>
      <c r="H202" s="3"/>
      <c r="I202" s="3"/>
      <c r="J202" s="3"/>
      <c r="K202" s="3"/>
      <c r="L202" s="3"/>
      <c r="M202" s="9"/>
      <c r="N202" s="3"/>
      <c r="O202" s="3"/>
    </row>
    <row r="203" spans="1:15">
      <c r="A203" s="17" t="s">
        <v>436</v>
      </c>
      <c r="B203" s="15"/>
      <c r="C203" s="15"/>
      <c r="D203" s="3"/>
      <c r="E203" s="3"/>
      <c r="F203" s="3"/>
      <c r="G203" s="3"/>
      <c r="H203" s="3"/>
      <c r="I203" s="3"/>
      <c r="J203" s="3"/>
      <c r="K203" s="3"/>
      <c r="L203" s="3"/>
      <c r="M203" s="9"/>
      <c r="N203" s="3"/>
      <c r="O203" s="3"/>
    </row>
    <row r="204" spans="1:15">
      <c r="A204" s="17" t="s">
        <v>134</v>
      </c>
      <c r="B204" s="15"/>
      <c r="C204" s="15"/>
      <c r="D204" s="15"/>
      <c r="E204" s="3"/>
      <c r="F204" s="3"/>
      <c r="G204" s="3"/>
      <c r="H204" s="3"/>
      <c r="I204" s="3"/>
      <c r="J204" s="3"/>
      <c r="K204" s="3"/>
      <c r="L204" s="3"/>
      <c r="M204" s="9"/>
      <c r="N204" s="3"/>
      <c r="O204" s="3"/>
    </row>
    <row r="205" spans="1:15">
      <c r="A205" s="9" t="s">
        <v>441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9"/>
      <c r="N205" s="3"/>
      <c r="O205" s="3"/>
    </row>
    <row r="206" spans="1:15">
      <c r="A206" s="9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9"/>
      <c r="N206" s="3"/>
      <c r="O206" s="3"/>
    </row>
    <row r="207" spans="1:15">
      <c r="A207" s="72" t="s">
        <v>437</v>
      </c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9"/>
      <c r="N207" s="3"/>
      <c r="O207" s="3"/>
    </row>
    <row r="208" spans="1:15">
      <c r="A208" s="9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9"/>
      <c r="N208" s="3"/>
      <c r="O208" s="3"/>
    </row>
    <row r="209" spans="1:15">
      <c r="A209" s="9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9"/>
      <c r="N209" s="3"/>
      <c r="O209" s="3"/>
    </row>
    <row r="210" spans="1: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9"/>
      <c r="N210" s="3"/>
      <c r="O210" s="3"/>
    </row>
    <row r="211" spans="1: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9"/>
      <c r="N211" s="3"/>
      <c r="O211" s="3"/>
    </row>
    <row r="212" spans="1: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9"/>
      <c r="N212" s="3"/>
      <c r="O212" s="3"/>
    </row>
    <row r="213" spans="1: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9"/>
      <c r="N213" s="3"/>
      <c r="O213" s="3"/>
    </row>
    <row r="214" spans="1: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9"/>
      <c r="N214" s="3"/>
      <c r="O214" s="3"/>
    </row>
    <row r="215" spans="1: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9"/>
      <c r="N215" s="3"/>
      <c r="O215" s="3"/>
    </row>
    <row r="216" spans="1: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9"/>
      <c r="N216" s="3"/>
      <c r="O216" s="3"/>
    </row>
    <row r="217" spans="1: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9"/>
      <c r="N217" s="3"/>
      <c r="O217" s="3"/>
    </row>
    <row r="218" spans="1: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9"/>
      <c r="N218" s="3"/>
      <c r="O218" s="3"/>
    </row>
    <row r="219" spans="1: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9"/>
      <c r="N219" s="3"/>
      <c r="O219" s="3"/>
    </row>
  </sheetData>
  <hyperlinks>
    <hyperlink ref="A207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2"/>
  <sheetViews>
    <sheetView workbookViewId="0"/>
  </sheetViews>
  <sheetFormatPr defaultColWidth="15.77734375" defaultRowHeight="15.75"/>
  <cols>
    <col min="1" max="1" width="17.77734375" customWidth="1"/>
    <col min="10" max="10" width="25.77734375" customWidth="1"/>
  </cols>
  <sheetData>
    <row r="1" spans="1:12" ht="20.25">
      <c r="A1" s="29" t="s">
        <v>0</v>
      </c>
      <c r="B1" s="5"/>
      <c r="C1" s="5"/>
      <c r="D1" s="5"/>
      <c r="E1" s="5"/>
      <c r="F1" s="5"/>
      <c r="G1" s="5"/>
      <c r="H1" s="4"/>
      <c r="I1" s="3"/>
      <c r="J1" s="3"/>
      <c r="K1" s="3"/>
      <c r="L1" s="3"/>
    </row>
    <row r="2" spans="1:12" ht="20.25">
      <c r="A2" s="30" t="s">
        <v>444</v>
      </c>
      <c r="B2" s="5"/>
      <c r="C2" s="5"/>
      <c r="D2" s="3"/>
      <c r="E2" s="3"/>
      <c r="F2" s="3"/>
      <c r="G2" s="3"/>
      <c r="H2" s="4"/>
      <c r="I2" s="3"/>
      <c r="J2" s="3"/>
      <c r="K2" s="3"/>
      <c r="L2" s="3"/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9.25">
      <c r="A4" s="31" t="s">
        <v>1</v>
      </c>
      <c r="B4" s="32" t="s">
        <v>73</v>
      </c>
      <c r="C4" s="33" t="s">
        <v>2</v>
      </c>
      <c r="D4" s="33" t="s">
        <v>80</v>
      </c>
      <c r="E4" s="33" t="s">
        <v>101</v>
      </c>
      <c r="F4" s="34" t="s">
        <v>196</v>
      </c>
      <c r="G4" s="34" t="s">
        <v>200</v>
      </c>
      <c r="H4" s="33" t="s">
        <v>195</v>
      </c>
      <c r="I4" s="35" t="s">
        <v>197</v>
      </c>
      <c r="J4" s="33" t="s">
        <v>3</v>
      </c>
      <c r="K4" s="3"/>
      <c r="L4" s="3"/>
    </row>
    <row r="5" spans="1:12">
      <c r="A5" s="3"/>
      <c r="B5" s="6"/>
      <c r="C5" s="6"/>
      <c r="D5" s="6"/>
      <c r="E5" s="6"/>
      <c r="F5" s="6"/>
      <c r="G5" s="6"/>
      <c r="H5" s="6"/>
      <c r="I5" s="6"/>
      <c r="J5" s="3"/>
      <c r="K5" s="3"/>
      <c r="L5" s="3"/>
    </row>
    <row r="6" spans="1:12">
      <c r="A6" s="7" t="s">
        <v>4</v>
      </c>
      <c r="B6" s="8" t="s">
        <v>445</v>
      </c>
      <c r="C6" s="8" t="s">
        <v>113</v>
      </c>
      <c r="D6" s="8" t="s">
        <v>113</v>
      </c>
      <c r="E6" s="8" t="s">
        <v>74</v>
      </c>
      <c r="F6" s="8" t="s">
        <v>445</v>
      </c>
      <c r="G6" s="8"/>
      <c r="H6" s="8"/>
      <c r="I6" s="9">
        <v>11744</v>
      </c>
      <c r="J6" s="8" t="s">
        <v>114</v>
      </c>
      <c r="K6" s="9">
        <f>SUM(B6:I7)</f>
        <v>138550</v>
      </c>
      <c r="L6" s="3"/>
    </row>
    <row r="7" spans="1:12">
      <c r="A7" s="3"/>
      <c r="B7" s="10">
        <v>46783</v>
      </c>
      <c r="C7" s="10">
        <v>61130</v>
      </c>
      <c r="D7" s="10">
        <v>4191</v>
      </c>
      <c r="E7" s="10">
        <v>10462</v>
      </c>
      <c r="F7" s="10">
        <v>4240</v>
      </c>
      <c r="G7" s="10"/>
      <c r="H7" s="10"/>
      <c r="I7" s="9"/>
      <c r="J7" s="11"/>
      <c r="K7" s="3"/>
      <c r="L7" s="3"/>
    </row>
    <row r="8" spans="1:12">
      <c r="A8" s="3"/>
      <c r="B8" s="9"/>
      <c r="C8" s="9"/>
      <c r="D8" s="9"/>
      <c r="E8" s="9"/>
      <c r="F8" s="9"/>
      <c r="G8" s="9"/>
      <c r="H8" s="9"/>
      <c r="I8" s="9"/>
      <c r="J8" s="9"/>
      <c r="K8" s="3"/>
      <c r="L8" s="3"/>
    </row>
    <row r="9" spans="1:12">
      <c r="A9" s="36" t="s">
        <v>6</v>
      </c>
      <c r="B9" s="37" t="s">
        <v>446</v>
      </c>
      <c r="C9" s="37" t="s">
        <v>81</v>
      </c>
      <c r="D9" s="37" t="s">
        <v>81</v>
      </c>
      <c r="E9" s="37" t="s">
        <v>81</v>
      </c>
      <c r="F9" s="37"/>
      <c r="G9" s="37"/>
      <c r="H9" s="37"/>
      <c r="I9" s="38">
        <v>14705</v>
      </c>
      <c r="J9" s="37" t="s">
        <v>82</v>
      </c>
      <c r="K9" s="38">
        <f>SUM(B9:I10)</f>
        <v>132811</v>
      </c>
      <c r="L9" s="3"/>
    </row>
    <row r="10" spans="1:12">
      <c r="A10" s="39"/>
      <c r="B10" s="40">
        <v>38322</v>
      </c>
      <c r="C10" s="40">
        <v>64822</v>
      </c>
      <c r="D10" s="40">
        <v>4319</v>
      </c>
      <c r="E10" s="40">
        <v>10643</v>
      </c>
      <c r="F10" s="40"/>
      <c r="G10" s="40"/>
      <c r="H10" s="40"/>
      <c r="I10" s="38"/>
      <c r="J10" s="41"/>
      <c r="K10" s="39"/>
      <c r="L10" s="3"/>
    </row>
    <row r="11" spans="1:12">
      <c r="A11" s="3"/>
      <c r="B11" s="9"/>
      <c r="C11" s="9"/>
      <c r="D11" s="9"/>
      <c r="E11" s="9"/>
      <c r="F11" s="9"/>
      <c r="G11" s="9"/>
      <c r="H11" s="9"/>
      <c r="I11" s="9"/>
      <c r="J11" s="9"/>
      <c r="K11" s="3"/>
      <c r="L11" s="3"/>
    </row>
    <row r="12" spans="1:12">
      <c r="A12" s="7" t="s">
        <v>7</v>
      </c>
      <c r="B12" s="8" t="s">
        <v>447</v>
      </c>
      <c r="C12" s="8" t="s">
        <v>448</v>
      </c>
      <c r="D12" s="8" t="s">
        <v>448</v>
      </c>
      <c r="E12" s="8" t="s">
        <v>448</v>
      </c>
      <c r="F12" s="8"/>
      <c r="G12" s="8"/>
      <c r="H12" s="8"/>
      <c r="I12" s="9">
        <v>14288</v>
      </c>
      <c r="J12" s="8" t="s">
        <v>449</v>
      </c>
      <c r="K12" s="9">
        <f>SUM(B12:I13)</f>
        <v>107347</v>
      </c>
      <c r="L12" s="3"/>
    </row>
    <row r="13" spans="1:12">
      <c r="A13" s="3"/>
      <c r="B13" s="10">
        <v>41139</v>
      </c>
      <c r="C13" s="10">
        <v>40795</v>
      </c>
      <c r="D13" s="10">
        <v>3024</v>
      </c>
      <c r="E13" s="10">
        <v>8101</v>
      </c>
      <c r="F13" s="10"/>
      <c r="G13" s="10"/>
      <c r="H13" s="10"/>
      <c r="I13" s="9"/>
      <c r="J13" s="11"/>
      <c r="K13" s="3"/>
      <c r="L13" s="3"/>
    </row>
    <row r="14" spans="1:12">
      <c r="A14" s="3"/>
      <c r="B14" s="9"/>
      <c r="C14" s="9"/>
      <c r="D14" s="9"/>
      <c r="E14" s="9"/>
      <c r="F14" s="9"/>
      <c r="G14" s="9"/>
      <c r="H14" s="9"/>
      <c r="I14" s="9"/>
      <c r="J14" s="9"/>
      <c r="K14" s="3"/>
      <c r="L14" s="3"/>
    </row>
    <row r="15" spans="1:12">
      <c r="A15" s="36" t="s">
        <v>9</v>
      </c>
      <c r="B15" s="37" t="s">
        <v>450</v>
      </c>
      <c r="C15" s="37" t="s">
        <v>136</v>
      </c>
      <c r="D15" s="37" t="s">
        <v>136</v>
      </c>
      <c r="E15" s="37" t="s">
        <v>136</v>
      </c>
      <c r="F15" s="37" t="s">
        <v>450</v>
      </c>
      <c r="G15" s="37"/>
      <c r="H15" s="37"/>
      <c r="I15" s="38">
        <v>13775</v>
      </c>
      <c r="J15" s="37" t="s">
        <v>137</v>
      </c>
      <c r="K15" s="38">
        <f>SUM(B15:I16)</f>
        <v>117038</v>
      </c>
      <c r="L15" s="3"/>
    </row>
    <row r="16" spans="1:12">
      <c r="A16" s="39"/>
      <c r="B16" s="40">
        <v>45513</v>
      </c>
      <c r="C16" s="40">
        <v>43691</v>
      </c>
      <c r="D16" s="40">
        <v>2578</v>
      </c>
      <c r="E16" s="40">
        <v>8043</v>
      </c>
      <c r="F16" s="40">
        <v>3438</v>
      </c>
      <c r="G16" s="40"/>
      <c r="H16" s="40"/>
      <c r="I16" s="38"/>
      <c r="J16" s="41"/>
      <c r="K16" s="39"/>
      <c r="L16" s="3"/>
    </row>
    <row r="17" spans="1:12">
      <c r="A17" s="3"/>
      <c r="B17" s="9"/>
      <c r="C17" s="9"/>
      <c r="D17" s="9"/>
      <c r="E17" s="9"/>
      <c r="F17" s="9"/>
      <c r="G17" s="9"/>
      <c r="H17" s="9"/>
      <c r="I17" s="9"/>
      <c r="J17" s="9"/>
      <c r="K17" s="3"/>
      <c r="L17" s="3"/>
    </row>
    <row r="18" spans="1:12">
      <c r="A18" s="7" t="s">
        <v>11</v>
      </c>
      <c r="B18" s="10" t="s">
        <v>451</v>
      </c>
      <c r="C18" s="10" t="s">
        <v>12</v>
      </c>
      <c r="D18" s="10" t="s">
        <v>12</v>
      </c>
      <c r="E18" s="10" t="s">
        <v>75</v>
      </c>
      <c r="F18" s="10"/>
      <c r="G18" s="10"/>
      <c r="H18" s="10" t="s">
        <v>452</v>
      </c>
      <c r="I18" s="10">
        <v>16488</v>
      </c>
      <c r="J18" s="10" t="s">
        <v>13</v>
      </c>
      <c r="K18" s="9">
        <f>SUM(B18:I19)</f>
        <v>139840</v>
      </c>
      <c r="L18" s="3"/>
    </row>
    <row r="19" spans="1:12">
      <c r="A19" s="3"/>
      <c r="B19" s="10">
        <v>49528</v>
      </c>
      <c r="C19" s="10">
        <v>62024</v>
      </c>
      <c r="D19" s="10">
        <v>3340</v>
      </c>
      <c r="E19" s="10">
        <v>7934</v>
      </c>
      <c r="F19" s="10"/>
      <c r="G19" s="10"/>
      <c r="H19" s="9">
        <v>526</v>
      </c>
      <c r="I19" s="9"/>
      <c r="J19" s="9"/>
      <c r="K19" s="3"/>
      <c r="L19" s="3"/>
    </row>
    <row r="20" spans="1:12">
      <c r="A20" s="3"/>
      <c r="B20" s="3"/>
      <c r="C20" s="3"/>
      <c r="D20" s="3"/>
      <c r="E20" s="3"/>
      <c r="F20" s="3"/>
      <c r="G20" s="3"/>
      <c r="H20" s="3"/>
      <c r="I20" s="9"/>
      <c r="J20" s="9"/>
      <c r="K20" s="3"/>
      <c r="L20" s="3"/>
    </row>
    <row r="21" spans="1:12">
      <c r="A21" s="36" t="s">
        <v>15</v>
      </c>
      <c r="B21" s="40" t="s">
        <v>292</v>
      </c>
      <c r="C21" s="40" t="s">
        <v>16</v>
      </c>
      <c r="D21" s="40" t="s">
        <v>16</v>
      </c>
      <c r="E21" s="40" t="s">
        <v>76</v>
      </c>
      <c r="F21" s="40" t="s">
        <v>292</v>
      </c>
      <c r="G21" s="40"/>
      <c r="H21" s="40" t="s">
        <v>294</v>
      </c>
      <c r="I21" s="40">
        <v>15207</v>
      </c>
      <c r="J21" s="40" t="s">
        <v>293</v>
      </c>
      <c r="K21" s="38">
        <f>SUM(B21:I22)</f>
        <v>128432</v>
      </c>
      <c r="L21" s="3"/>
    </row>
    <row r="22" spans="1:12">
      <c r="A22" s="39"/>
      <c r="B22" s="40">
        <v>51355</v>
      </c>
      <c r="C22" s="40">
        <v>49998</v>
      </c>
      <c r="D22" s="40">
        <v>1987</v>
      </c>
      <c r="E22" s="40">
        <v>6526</v>
      </c>
      <c r="F22" s="40">
        <v>3027</v>
      </c>
      <c r="G22" s="40"/>
      <c r="H22" s="40">
        <v>332</v>
      </c>
      <c r="I22" s="38"/>
      <c r="J22" s="38"/>
      <c r="K22" s="39"/>
      <c r="L22" s="3"/>
    </row>
    <row r="23" spans="1:12">
      <c r="A23" s="3"/>
      <c r="B23" s="3"/>
      <c r="C23" s="3"/>
      <c r="D23" s="3"/>
      <c r="E23" s="3"/>
      <c r="F23" s="3"/>
      <c r="G23" s="3"/>
      <c r="H23" s="9"/>
      <c r="I23" s="9"/>
      <c r="J23" s="9"/>
      <c r="K23" s="3"/>
      <c r="L23" s="3"/>
    </row>
    <row r="24" spans="1:12">
      <c r="A24" s="12" t="s">
        <v>18</v>
      </c>
      <c r="B24" s="13" t="s">
        <v>453</v>
      </c>
      <c r="C24" s="13" t="s">
        <v>372</v>
      </c>
      <c r="D24" s="13" t="s">
        <v>372</v>
      </c>
      <c r="E24" s="13" t="s">
        <v>372</v>
      </c>
      <c r="F24" s="13" t="s">
        <v>453</v>
      </c>
      <c r="G24" s="13"/>
      <c r="H24" s="14" t="s">
        <v>374</v>
      </c>
      <c r="I24" s="14">
        <v>18071</v>
      </c>
      <c r="J24" s="13" t="s">
        <v>373</v>
      </c>
      <c r="K24" s="9">
        <f>SUM(B24:I25)</f>
        <v>130097</v>
      </c>
      <c r="L24" s="3"/>
    </row>
    <row r="25" spans="1:12">
      <c r="A25" s="15"/>
      <c r="B25" s="14">
        <v>51419</v>
      </c>
      <c r="C25" s="14">
        <v>49647</v>
      </c>
      <c r="D25" s="14">
        <v>2173</v>
      </c>
      <c r="E25" s="14">
        <v>5837</v>
      </c>
      <c r="F25" s="14">
        <v>2568</v>
      </c>
      <c r="G25" s="14"/>
      <c r="H25" s="14">
        <v>382</v>
      </c>
      <c r="I25" s="14"/>
      <c r="J25" s="16"/>
      <c r="K25" s="3"/>
      <c r="L25" s="3"/>
    </row>
    <row r="26" spans="1:12">
      <c r="A26" s="15"/>
      <c r="B26" s="15"/>
      <c r="C26" s="15"/>
      <c r="D26" s="15"/>
      <c r="E26" s="15"/>
      <c r="F26" s="15"/>
      <c r="G26" s="15"/>
      <c r="H26" s="15"/>
      <c r="I26" s="17"/>
      <c r="J26" s="17"/>
      <c r="K26" s="3"/>
      <c r="L26" s="3"/>
    </row>
    <row r="27" spans="1:12">
      <c r="A27" s="36" t="s">
        <v>21</v>
      </c>
      <c r="B27" s="37" t="s">
        <v>454</v>
      </c>
      <c r="C27" s="37" t="s">
        <v>455</v>
      </c>
      <c r="D27" s="37" t="s">
        <v>455</v>
      </c>
      <c r="E27" s="37" t="s">
        <v>455</v>
      </c>
      <c r="F27" s="37"/>
      <c r="G27" s="37"/>
      <c r="H27" s="37" t="s">
        <v>456</v>
      </c>
      <c r="I27" s="40">
        <v>14625</v>
      </c>
      <c r="J27" s="37" t="s">
        <v>457</v>
      </c>
      <c r="K27" s="38">
        <f>SUM(B27:I28)</f>
        <v>130619</v>
      </c>
      <c r="L27" s="3"/>
    </row>
    <row r="28" spans="1:12">
      <c r="A28" s="39"/>
      <c r="B28" s="40">
        <v>47317</v>
      </c>
      <c r="C28" s="40">
        <v>57621</v>
      </c>
      <c r="D28" s="40">
        <v>3145</v>
      </c>
      <c r="E28" s="40">
        <v>7441</v>
      </c>
      <c r="F28" s="40"/>
      <c r="G28" s="40"/>
      <c r="H28" s="40">
        <v>470</v>
      </c>
      <c r="I28" s="38"/>
      <c r="J28" s="41"/>
      <c r="K28" s="39"/>
      <c r="L28" s="3"/>
    </row>
    <row r="29" spans="1:12">
      <c r="A29" s="3"/>
      <c r="B29" s="3"/>
      <c r="C29" s="3"/>
      <c r="D29" s="3"/>
      <c r="E29" s="3"/>
      <c r="F29" s="3"/>
      <c r="G29" s="3"/>
      <c r="H29" s="9"/>
      <c r="I29" s="9"/>
      <c r="J29" s="9"/>
      <c r="K29" s="3"/>
      <c r="L29" s="3"/>
    </row>
    <row r="30" spans="1:12">
      <c r="A30" s="7" t="s">
        <v>23</v>
      </c>
      <c r="B30" s="8" t="s">
        <v>458</v>
      </c>
      <c r="C30" s="8" t="s">
        <v>378</v>
      </c>
      <c r="D30" s="8" t="s">
        <v>379</v>
      </c>
      <c r="E30" s="8" t="s">
        <v>379</v>
      </c>
      <c r="F30" s="8"/>
      <c r="G30" s="8"/>
      <c r="H30" s="8" t="s">
        <v>380</v>
      </c>
      <c r="I30" s="10">
        <v>19603</v>
      </c>
      <c r="J30" s="8" t="s">
        <v>381</v>
      </c>
      <c r="K30" s="9">
        <f>SUM(B30:I31)</f>
        <v>133065</v>
      </c>
      <c r="L30" s="3"/>
    </row>
    <row r="31" spans="1:12">
      <c r="A31" s="3"/>
      <c r="B31" s="10">
        <v>44646</v>
      </c>
      <c r="C31" s="10">
        <v>59603</v>
      </c>
      <c r="D31" s="10">
        <v>2675</v>
      </c>
      <c r="E31" s="10">
        <v>6070</v>
      </c>
      <c r="F31" s="10"/>
      <c r="G31" s="10"/>
      <c r="H31" s="10">
        <v>468</v>
      </c>
      <c r="I31" s="9"/>
      <c r="J31" s="11"/>
      <c r="K31" s="3"/>
      <c r="L31" s="3"/>
    </row>
    <row r="32" spans="1:12">
      <c r="A32" s="3"/>
      <c r="B32" s="3"/>
      <c r="C32" s="3"/>
      <c r="D32" s="3"/>
      <c r="E32" s="3"/>
      <c r="F32" s="3"/>
      <c r="G32" s="3"/>
      <c r="H32" s="3"/>
      <c r="I32" s="3"/>
      <c r="J32" s="9"/>
      <c r="K32" s="3"/>
      <c r="L32" s="3"/>
    </row>
    <row r="33" spans="1:12">
      <c r="A33" s="36" t="s">
        <v>24</v>
      </c>
      <c r="B33" s="37" t="s">
        <v>459</v>
      </c>
      <c r="C33" s="42"/>
      <c r="D33" s="37"/>
      <c r="E33" s="37"/>
      <c r="F33" s="37"/>
      <c r="G33" s="37"/>
      <c r="H33" s="37"/>
      <c r="I33" s="40">
        <v>21547</v>
      </c>
      <c r="J33" s="37" t="s">
        <v>138</v>
      </c>
      <c r="K33" s="38">
        <f>SUM(B33:I34)</f>
        <v>89021</v>
      </c>
      <c r="L33" s="3"/>
    </row>
    <row r="34" spans="1:12">
      <c r="A34" s="39"/>
      <c r="B34" s="40">
        <v>67474</v>
      </c>
      <c r="C34" s="38"/>
      <c r="D34" s="40"/>
      <c r="E34" s="40"/>
      <c r="F34" s="40"/>
      <c r="G34" s="40"/>
      <c r="H34" s="40"/>
      <c r="I34" s="38"/>
      <c r="J34" s="41"/>
      <c r="K34" s="39"/>
      <c r="L34" s="3"/>
    </row>
    <row r="35" spans="1:12">
      <c r="A35" s="3"/>
      <c r="B35" s="3"/>
      <c r="C35" s="3"/>
      <c r="D35" s="3"/>
      <c r="E35" s="3"/>
      <c r="F35" s="3"/>
      <c r="G35" s="3"/>
      <c r="H35" s="3"/>
      <c r="I35" s="9"/>
      <c r="J35" s="9"/>
      <c r="K35" s="3"/>
      <c r="L35" s="3"/>
    </row>
    <row r="36" spans="1:12">
      <c r="A36" s="3" t="s">
        <v>26</v>
      </c>
      <c r="B36" s="10" t="s">
        <v>116</v>
      </c>
      <c r="C36" s="10" t="s">
        <v>460</v>
      </c>
      <c r="D36" s="10" t="s">
        <v>116</v>
      </c>
      <c r="E36" s="10" t="s">
        <v>460</v>
      </c>
      <c r="F36" s="10" t="s">
        <v>116</v>
      </c>
      <c r="G36" s="10"/>
      <c r="H36" s="10"/>
      <c r="I36" s="9">
        <v>10806</v>
      </c>
      <c r="J36" s="8" t="s">
        <v>302</v>
      </c>
      <c r="K36" s="9">
        <f>SUM(B36:I37)</f>
        <v>99131</v>
      </c>
      <c r="L36" s="3"/>
    </row>
    <row r="37" spans="1:12">
      <c r="A37" s="7"/>
      <c r="B37" s="11">
        <v>61007</v>
      </c>
      <c r="C37" s="10">
        <v>21227</v>
      </c>
      <c r="D37" s="10">
        <v>1470</v>
      </c>
      <c r="E37" s="10">
        <v>2323</v>
      </c>
      <c r="F37" s="10">
        <v>2298</v>
      </c>
      <c r="G37" s="10"/>
      <c r="H37" s="11"/>
      <c r="I37" s="9"/>
      <c r="J37" s="11"/>
      <c r="K37" s="3"/>
      <c r="L37" s="3"/>
    </row>
    <row r="38" spans="1:12">
      <c r="A38" s="3"/>
      <c r="B38" s="3"/>
      <c r="C38" s="3"/>
      <c r="D38" s="3"/>
      <c r="E38" s="3"/>
      <c r="F38" s="3"/>
      <c r="G38" s="3"/>
      <c r="H38" s="3"/>
      <c r="I38" s="9"/>
      <c r="J38" s="9"/>
      <c r="K38" s="3"/>
      <c r="L38" s="3"/>
    </row>
    <row r="39" spans="1:12">
      <c r="A39" s="39" t="s">
        <v>28</v>
      </c>
      <c r="B39" s="40" t="s">
        <v>117</v>
      </c>
      <c r="C39" s="40" t="s">
        <v>461</v>
      </c>
      <c r="D39" s="40"/>
      <c r="E39" s="40" t="s">
        <v>461</v>
      </c>
      <c r="F39" s="40" t="s">
        <v>117</v>
      </c>
      <c r="G39" s="40"/>
      <c r="H39" s="40"/>
      <c r="I39" s="38">
        <v>11820</v>
      </c>
      <c r="J39" s="37" t="s">
        <v>118</v>
      </c>
      <c r="K39" s="38">
        <f>SUM(B39:I40)</f>
        <v>83438</v>
      </c>
      <c r="L39" s="3"/>
    </row>
    <row r="40" spans="1:12">
      <c r="A40" s="36"/>
      <c r="B40" s="40">
        <v>58576</v>
      </c>
      <c r="C40" s="38">
        <v>8772</v>
      </c>
      <c r="D40" s="40"/>
      <c r="E40" s="40">
        <v>1003</v>
      </c>
      <c r="F40" s="40">
        <v>3267</v>
      </c>
      <c r="G40" s="40"/>
      <c r="H40" s="40"/>
      <c r="I40" s="38"/>
      <c r="J40" s="41"/>
      <c r="K40" s="39"/>
      <c r="L40" s="3"/>
    </row>
    <row r="41" spans="1:12">
      <c r="A41" s="3"/>
      <c r="B41" s="3"/>
      <c r="C41" s="3"/>
      <c r="D41" s="3"/>
      <c r="E41" s="3"/>
      <c r="F41" s="3"/>
      <c r="G41" s="3"/>
      <c r="H41" s="3"/>
      <c r="I41" s="3"/>
      <c r="J41" s="9"/>
      <c r="K41" s="3"/>
      <c r="L41" s="3"/>
    </row>
    <row r="42" spans="1:12">
      <c r="A42" s="3" t="s">
        <v>29</v>
      </c>
      <c r="B42" s="10" t="s">
        <v>119</v>
      </c>
      <c r="C42" s="10"/>
      <c r="D42" s="10"/>
      <c r="E42" s="10"/>
      <c r="F42" s="10" t="s">
        <v>119</v>
      </c>
      <c r="G42" s="10"/>
      <c r="H42" s="10"/>
      <c r="I42" s="9">
        <v>13780</v>
      </c>
      <c r="J42" s="8" t="s">
        <v>305</v>
      </c>
      <c r="K42" s="9">
        <f>SUM(B42:I43)</f>
        <v>63673</v>
      </c>
      <c r="L42" s="3"/>
    </row>
    <row r="43" spans="1:12">
      <c r="A43" s="7"/>
      <c r="B43" s="10">
        <v>47855</v>
      </c>
      <c r="C43" s="9"/>
      <c r="D43" s="10"/>
      <c r="E43" s="10"/>
      <c r="F43" s="10">
        <v>2038</v>
      </c>
      <c r="G43" s="10"/>
      <c r="H43" s="10"/>
      <c r="I43" s="9"/>
      <c r="J43" s="11"/>
      <c r="K43" s="3"/>
      <c r="L43" s="3"/>
    </row>
    <row r="44" spans="1:12">
      <c r="A44" s="7"/>
      <c r="B44" s="3"/>
      <c r="C44" s="3"/>
      <c r="D44" s="3"/>
      <c r="E44" s="3"/>
      <c r="F44" s="3"/>
      <c r="G44" s="3"/>
      <c r="H44" s="3"/>
      <c r="I44" s="9"/>
      <c r="J44" s="11"/>
      <c r="K44" s="3"/>
      <c r="L44" s="3"/>
    </row>
    <row r="45" spans="1:12">
      <c r="A45" s="39" t="s">
        <v>32</v>
      </c>
      <c r="B45" s="37" t="s">
        <v>462</v>
      </c>
      <c r="C45" s="37"/>
      <c r="D45" s="37"/>
      <c r="E45" s="37"/>
      <c r="F45" s="37" t="s">
        <v>462</v>
      </c>
      <c r="G45" s="37"/>
      <c r="H45" s="37"/>
      <c r="I45" s="38">
        <v>18410</v>
      </c>
      <c r="J45" s="40" t="s">
        <v>463</v>
      </c>
      <c r="K45" s="38">
        <f>SUM(B45:I46)</f>
        <v>104827</v>
      </c>
      <c r="L45" s="3"/>
    </row>
    <row r="46" spans="1:12">
      <c r="A46" s="39"/>
      <c r="B46" s="40">
        <v>84519</v>
      </c>
      <c r="C46" s="38"/>
      <c r="D46" s="40"/>
      <c r="E46" s="40"/>
      <c r="F46" s="40">
        <v>1898</v>
      </c>
      <c r="G46" s="40"/>
      <c r="H46" s="38"/>
      <c r="I46" s="38"/>
      <c r="J46" s="41"/>
      <c r="K46" s="39"/>
      <c r="L46" s="3"/>
    </row>
    <row r="47" spans="1:12">
      <c r="A47" s="7"/>
      <c r="B47" s="3"/>
      <c r="C47" s="3"/>
      <c r="D47" s="3"/>
      <c r="E47" s="3"/>
      <c r="F47" s="3"/>
      <c r="G47" s="3"/>
      <c r="H47" s="3"/>
      <c r="I47" s="9"/>
      <c r="J47" s="11"/>
      <c r="K47" s="3"/>
      <c r="L47" s="3"/>
    </row>
    <row r="48" spans="1:12">
      <c r="A48" s="3" t="s">
        <v>33</v>
      </c>
      <c r="B48" s="8" t="s">
        <v>107</v>
      </c>
      <c r="C48" s="8" t="s">
        <v>464</v>
      </c>
      <c r="D48" s="8" t="s">
        <v>464</v>
      </c>
      <c r="E48" s="8" t="s">
        <v>464</v>
      </c>
      <c r="F48" s="8" t="s">
        <v>107</v>
      </c>
      <c r="G48" s="8"/>
      <c r="H48" s="10"/>
      <c r="I48" s="9">
        <v>11921</v>
      </c>
      <c r="J48" s="10" t="s">
        <v>108</v>
      </c>
      <c r="K48" s="9">
        <f>SUM(B48:I49)</f>
        <v>85144</v>
      </c>
      <c r="L48" s="3"/>
    </row>
    <row r="49" spans="1:12">
      <c r="A49" s="3"/>
      <c r="B49" s="9">
        <v>40453</v>
      </c>
      <c r="C49" s="9">
        <v>26954</v>
      </c>
      <c r="D49" s="10">
        <v>1165</v>
      </c>
      <c r="E49" s="10">
        <v>2917</v>
      </c>
      <c r="F49" s="10">
        <v>1734</v>
      </c>
      <c r="G49" s="10"/>
      <c r="H49" s="10"/>
      <c r="I49" s="9"/>
      <c r="J49" s="11"/>
      <c r="K49" s="3"/>
      <c r="L49" s="3"/>
    </row>
    <row r="50" spans="1:12">
      <c r="A50" s="3"/>
      <c r="B50" s="3"/>
      <c r="C50" s="3"/>
      <c r="D50" s="3"/>
      <c r="E50" s="3"/>
      <c r="F50" s="3"/>
      <c r="G50" s="3"/>
      <c r="H50" s="3"/>
      <c r="I50" s="3"/>
      <c r="J50" s="11"/>
      <c r="K50" s="3"/>
      <c r="L50" s="3"/>
    </row>
    <row r="51" spans="1:12">
      <c r="A51" s="36" t="s">
        <v>35</v>
      </c>
      <c r="B51" s="37" t="s">
        <v>36</v>
      </c>
      <c r="C51" s="37" t="s">
        <v>465</v>
      </c>
      <c r="D51" s="37" t="s">
        <v>120</v>
      </c>
      <c r="E51" s="37" t="s">
        <v>465</v>
      </c>
      <c r="F51" s="37" t="s">
        <v>120</v>
      </c>
      <c r="G51" s="37"/>
      <c r="H51" s="37"/>
      <c r="I51" s="38">
        <v>12339</v>
      </c>
      <c r="J51" s="37" t="s">
        <v>77</v>
      </c>
      <c r="K51" s="38">
        <f>SUM(B51:I52)</f>
        <v>69824</v>
      </c>
      <c r="L51" s="3"/>
    </row>
    <row r="52" spans="1:12">
      <c r="A52" s="39"/>
      <c r="B52" s="40">
        <v>41919</v>
      </c>
      <c r="C52" s="40">
        <v>12423</v>
      </c>
      <c r="D52" s="38">
        <v>722</v>
      </c>
      <c r="E52" s="38">
        <v>1083</v>
      </c>
      <c r="F52" s="38">
        <v>1338</v>
      </c>
      <c r="G52" s="38"/>
      <c r="H52" s="40"/>
      <c r="I52" s="38"/>
      <c r="J52" s="38"/>
      <c r="K52" s="39"/>
      <c r="L52" s="3"/>
    </row>
    <row r="53" spans="1:12">
      <c r="A53" s="3"/>
      <c r="B53" s="3"/>
      <c r="C53" s="3"/>
      <c r="D53" s="3"/>
      <c r="E53" s="3"/>
      <c r="F53" s="3"/>
      <c r="G53" s="3"/>
      <c r="H53" s="3"/>
      <c r="I53" s="9"/>
      <c r="J53" s="11"/>
      <c r="K53" s="3"/>
      <c r="L53" s="3"/>
    </row>
    <row r="54" spans="1:12">
      <c r="A54" s="7" t="s">
        <v>38</v>
      </c>
      <c r="B54" s="8" t="s">
        <v>139</v>
      </c>
      <c r="C54" s="8" t="s">
        <v>466</v>
      </c>
      <c r="D54" s="3"/>
      <c r="E54" s="8" t="s">
        <v>139</v>
      </c>
      <c r="F54" s="8"/>
      <c r="G54" s="8"/>
      <c r="H54" s="8" t="s">
        <v>467</v>
      </c>
      <c r="I54" s="9">
        <v>8101</v>
      </c>
      <c r="J54" s="8" t="s">
        <v>140</v>
      </c>
      <c r="K54" s="9">
        <f>SUM(B54:I57)</f>
        <v>67233</v>
      </c>
      <c r="L54" s="3"/>
    </row>
    <row r="55" spans="1:12">
      <c r="A55" s="3"/>
      <c r="B55" s="10">
        <v>32759</v>
      </c>
      <c r="C55" s="9">
        <v>19338</v>
      </c>
      <c r="D55" s="3"/>
      <c r="E55" s="10">
        <v>6135</v>
      </c>
      <c r="F55" s="10"/>
      <c r="G55" s="10"/>
      <c r="H55" s="11">
        <v>528</v>
      </c>
      <c r="I55" s="9"/>
      <c r="J55" s="9"/>
      <c r="K55" s="3"/>
      <c r="L55" s="3"/>
    </row>
    <row r="56" spans="1:12">
      <c r="A56" s="3"/>
      <c r="B56" s="10"/>
      <c r="C56" s="9"/>
      <c r="D56" s="3"/>
      <c r="E56" s="10"/>
      <c r="F56" s="10"/>
      <c r="G56" s="10"/>
      <c r="H56" s="8" t="s">
        <v>468</v>
      </c>
      <c r="I56" s="9"/>
      <c r="J56" s="9"/>
      <c r="K56" s="3"/>
      <c r="L56" s="3"/>
    </row>
    <row r="57" spans="1:12">
      <c r="A57" s="3"/>
      <c r="B57" s="10"/>
      <c r="C57" s="9"/>
      <c r="D57" s="3"/>
      <c r="E57" s="10"/>
      <c r="F57" s="10"/>
      <c r="G57" s="10"/>
      <c r="H57" s="11">
        <v>372</v>
      </c>
      <c r="I57" s="9"/>
      <c r="J57" s="9"/>
      <c r="K57" s="3"/>
      <c r="L57" s="3"/>
    </row>
    <row r="58" spans="1:12">
      <c r="A58" s="3"/>
      <c r="B58" s="3"/>
      <c r="C58" s="3"/>
      <c r="D58" s="3"/>
      <c r="E58" s="3"/>
      <c r="F58" s="3"/>
      <c r="G58" s="3"/>
      <c r="H58" s="3"/>
      <c r="I58" s="9"/>
      <c r="J58" s="11"/>
      <c r="K58" s="3"/>
      <c r="L58" s="3"/>
    </row>
    <row r="59" spans="1:12">
      <c r="A59" s="36" t="s">
        <v>41</v>
      </c>
      <c r="B59" s="37" t="s">
        <v>309</v>
      </c>
      <c r="C59" s="37" t="s">
        <v>469</v>
      </c>
      <c r="D59" s="37"/>
      <c r="E59" s="37" t="s">
        <v>469</v>
      </c>
      <c r="F59" s="37"/>
      <c r="G59" s="37"/>
      <c r="H59" s="37"/>
      <c r="I59" s="38">
        <v>13816</v>
      </c>
      <c r="J59" s="37" t="s">
        <v>310</v>
      </c>
      <c r="K59" s="38">
        <f>SUM(B59:I60)</f>
        <v>87552</v>
      </c>
      <c r="L59" s="3"/>
    </row>
    <row r="60" spans="1:12">
      <c r="A60" s="39"/>
      <c r="B60" s="40">
        <v>69749</v>
      </c>
      <c r="C60" s="40">
        <v>3195</v>
      </c>
      <c r="D60" s="38"/>
      <c r="E60" s="38">
        <v>792</v>
      </c>
      <c r="F60" s="38"/>
      <c r="G60" s="38"/>
      <c r="H60" s="40"/>
      <c r="I60" s="40"/>
      <c r="J60" s="38"/>
      <c r="K60" s="39"/>
      <c r="L60" s="3"/>
    </row>
    <row r="61" spans="1:12">
      <c r="A61" s="3"/>
      <c r="B61" s="3"/>
      <c r="C61" s="3"/>
      <c r="D61" s="3"/>
      <c r="E61" s="3"/>
      <c r="F61" s="3"/>
      <c r="G61" s="3"/>
      <c r="H61" s="3"/>
      <c r="I61" s="9"/>
      <c r="J61" s="9"/>
      <c r="K61" s="3"/>
      <c r="L61" s="3"/>
    </row>
    <row r="62" spans="1:12">
      <c r="A62" s="3" t="s">
        <v>45</v>
      </c>
      <c r="B62" s="10" t="s">
        <v>385</v>
      </c>
      <c r="C62" s="10" t="s">
        <v>470</v>
      </c>
      <c r="D62" s="10"/>
      <c r="E62" s="10" t="s">
        <v>386</v>
      </c>
      <c r="F62" s="10" t="s">
        <v>471</v>
      </c>
      <c r="G62" s="10"/>
      <c r="H62" s="10"/>
      <c r="I62" s="9">
        <v>13153</v>
      </c>
      <c r="J62" s="8" t="s">
        <v>388</v>
      </c>
      <c r="K62" s="9">
        <f>SUM(B62:I63)</f>
        <v>100549</v>
      </c>
      <c r="L62" s="3"/>
    </row>
    <row r="63" spans="1:12">
      <c r="A63" s="7"/>
      <c r="B63" s="10">
        <v>77618</v>
      </c>
      <c r="C63" s="9">
        <v>7226</v>
      </c>
      <c r="D63" s="10"/>
      <c r="E63" s="10">
        <v>1196</v>
      </c>
      <c r="F63" s="10">
        <v>1356</v>
      </c>
      <c r="G63" s="10"/>
      <c r="H63" s="11"/>
      <c r="I63" s="9"/>
      <c r="J63" s="11"/>
      <c r="K63" s="3"/>
      <c r="L63" s="3"/>
    </row>
    <row r="64" spans="1:12">
      <c r="A64" s="3"/>
      <c r="B64" s="3"/>
      <c r="C64" s="3"/>
      <c r="D64" s="3"/>
      <c r="E64" s="3"/>
      <c r="F64" s="3"/>
      <c r="G64" s="3"/>
      <c r="H64" s="9"/>
      <c r="I64" s="9"/>
      <c r="J64" s="9"/>
      <c r="K64" s="3"/>
      <c r="L64" s="3"/>
    </row>
    <row r="65" spans="1:12">
      <c r="A65" s="39" t="s">
        <v>47</v>
      </c>
      <c r="B65" s="40" t="s">
        <v>352</v>
      </c>
      <c r="C65" s="40" t="s">
        <v>472</v>
      </c>
      <c r="D65" s="40"/>
      <c r="E65" s="40" t="s">
        <v>168</v>
      </c>
      <c r="F65" s="40" t="s">
        <v>352</v>
      </c>
      <c r="G65" s="40"/>
      <c r="H65" s="40"/>
      <c r="I65" s="38">
        <v>11149</v>
      </c>
      <c r="J65" s="37" t="s">
        <v>473</v>
      </c>
      <c r="K65" s="38">
        <f>SUM(B65:I66)</f>
        <v>95880</v>
      </c>
      <c r="L65" s="3"/>
    </row>
    <row r="66" spans="1:12">
      <c r="A66" s="36"/>
      <c r="B66" s="40">
        <v>77335</v>
      </c>
      <c r="C66" s="40">
        <v>2683</v>
      </c>
      <c r="D66" s="40"/>
      <c r="E66" s="40">
        <v>938</v>
      </c>
      <c r="F66" s="40">
        <v>3775</v>
      </c>
      <c r="G66" s="40"/>
      <c r="H66" s="40"/>
      <c r="I66" s="38"/>
      <c r="J66" s="41"/>
      <c r="K66" s="39"/>
      <c r="L66" s="3"/>
    </row>
    <row r="67" spans="1:12">
      <c r="A67" s="3"/>
      <c r="B67" s="3"/>
      <c r="C67" s="3"/>
      <c r="D67" s="3"/>
      <c r="E67" s="3"/>
      <c r="F67" s="3"/>
      <c r="G67" s="3"/>
      <c r="H67" s="11"/>
      <c r="I67" s="9"/>
      <c r="J67" s="9"/>
      <c r="K67" s="3"/>
      <c r="L67" s="3"/>
    </row>
    <row r="68" spans="1:12">
      <c r="A68" s="3" t="s">
        <v>49</v>
      </c>
      <c r="B68" s="10" t="s">
        <v>83</v>
      </c>
      <c r="C68" s="10"/>
      <c r="D68" s="10"/>
      <c r="E68" s="10" t="s">
        <v>474</v>
      </c>
      <c r="F68" s="10" t="s">
        <v>83</v>
      </c>
      <c r="G68" s="10"/>
      <c r="H68" s="10"/>
      <c r="I68" s="9">
        <v>13698</v>
      </c>
      <c r="J68" s="8" t="s">
        <v>84</v>
      </c>
      <c r="K68" s="9">
        <f>SUM(B68:I69)</f>
        <v>111741</v>
      </c>
      <c r="L68" s="3"/>
    </row>
    <row r="69" spans="1:12">
      <c r="A69" s="7"/>
      <c r="B69" s="10">
        <v>89961</v>
      </c>
      <c r="C69" s="10"/>
      <c r="D69" s="10"/>
      <c r="E69" s="10">
        <v>2733</v>
      </c>
      <c r="F69" s="10">
        <v>5349</v>
      </c>
      <c r="G69" s="10"/>
      <c r="H69" s="10"/>
      <c r="I69" s="9"/>
      <c r="J69" s="11"/>
      <c r="K69" s="3"/>
      <c r="L69" s="3"/>
    </row>
    <row r="70" spans="1:12">
      <c r="A70" s="7"/>
      <c r="B70" s="3"/>
      <c r="C70" s="3"/>
      <c r="D70" s="3"/>
      <c r="E70" s="3"/>
      <c r="F70" s="3"/>
      <c r="G70" s="3"/>
      <c r="H70" s="3"/>
      <c r="I70" s="3"/>
      <c r="J70" s="11"/>
      <c r="K70" s="3"/>
      <c r="L70" s="3"/>
    </row>
    <row r="71" spans="1:12">
      <c r="A71" s="39" t="s">
        <v>52</v>
      </c>
      <c r="B71" s="37" t="s">
        <v>228</v>
      </c>
      <c r="C71" s="37" t="s">
        <v>85</v>
      </c>
      <c r="D71" s="37" t="s">
        <v>85</v>
      </c>
      <c r="E71" s="37" t="s">
        <v>85</v>
      </c>
      <c r="F71" s="37" t="s">
        <v>228</v>
      </c>
      <c r="G71" s="37"/>
      <c r="H71" s="37"/>
      <c r="I71" s="38">
        <v>7622</v>
      </c>
      <c r="J71" s="40" t="s">
        <v>313</v>
      </c>
      <c r="K71" s="38">
        <f>SUM(B71:I72)</f>
        <v>74449</v>
      </c>
      <c r="L71" s="3"/>
    </row>
    <row r="72" spans="1:12">
      <c r="A72" s="39"/>
      <c r="B72" s="40">
        <v>26525</v>
      </c>
      <c r="C72" s="40">
        <v>32774</v>
      </c>
      <c r="D72" s="40">
        <v>1632</v>
      </c>
      <c r="E72" s="40">
        <v>4178</v>
      </c>
      <c r="F72" s="40">
        <v>1718</v>
      </c>
      <c r="G72" s="40"/>
      <c r="H72" s="38"/>
      <c r="I72" s="38"/>
      <c r="J72" s="41"/>
      <c r="K72" s="39"/>
      <c r="L72" s="3"/>
    </row>
    <row r="73" spans="1:12">
      <c r="A73" s="3"/>
      <c r="B73" s="3"/>
      <c r="C73" s="3"/>
      <c r="D73" s="3"/>
      <c r="E73" s="3"/>
      <c r="F73" s="3"/>
      <c r="G73" s="3"/>
      <c r="H73" s="3"/>
      <c r="I73" s="9"/>
      <c r="J73" s="11"/>
      <c r="K73" s="3"/>
      <c r="L73" s="3"/>
    </row>
    <row r="74" spans="1:12">
      <c r="A74" s="7" t="s">
        <v>54</v>
      </c>
      <c r="B74" s="8" t="s">
        <v>93</v>
      </c>
      <c r="C74" s="8" t="s">
        <v>475</v>
      </c>
      <c r="D74" s="8" t="s">
        <v>93</v>
      </c>
      <c r="E74" s="8" t="s">
        <v>475</v>
      </c>
      <c r="F74" s="8" t="s">
        <v>93</v>
      </c>
      <c r="G74" s="8"/>
      <c r="H74" s="8"/>
      <c r="I74" s="9">
        <v>11037</v>
      </c>
      <c r="J74" s="8" t="s">
        <v>94</v>
      </c>
      <c r="K74" s="9">
        <f>SUM(B74:I75)</f>
        <v>76721</v>
      </c>
      <c r="L74" s="3"/>
    </row>
    <row r="75" spans="1:12">
      <c r="A75" s="3"/>
      <c r="B75" s="10">
        <v>47486</v>
      </c>
      <c r="C75" s="10">
        <v>13583</v>
      </c>
      <c r="D75" s="10">
        <v>941</v>
      </c>
      <c r="E75" s="10">
        <v>1548</v>
      </c>
      <c r="F75" s="10">
        <v>2126</v>
      </c>
      <c r="G75" s="10"/>
      <c r="H75" s="9"/>
      <c r="I75" s="9"/>
      <c r="J75" s="9"/>
      <c r="K75" s="3"/>
      <c r="L75" s="3"/>
    </row>
    <row r="76" spans="1:12">
      <c r="A76" s="3"/>
      <c r="B76" s="3"/>
      <c r="C76" s="3"/>
      <c r="D76" s="3"/>
      <c r="E76" s="3"/>
      <c r="F76" s="3"/>
      <c r="G76" s="3"/>
      <c r="H76" s="3"/>
      <c r="I76" s="9"/>
      <c r="J76" s="11"/>
      <c r="K76" s="3"/>
      <c r="L76" s="3"/>
    </row>
    <row r="77" spans="1:12">
      <c r="A77" s="36" t="s">
        <v>56</v>
      </c>
      <c r="B77" s="37" t="s">
        <v>391</v>
      </c>
      <c r="C77" s="37" t="s">
        <v>102</v>
      </c>
      <c r="D77" s="37" t="s">
        <v>102</v>
      </c>
      <c r="E77" s="37" t="s">
        <v>102</v>
      </c>
      <c r="F77" s="37" t="s">
        <v>391</v>
      </c>
      <c r="G77" s="37"/>
      <c r="H77" s="37"/>
      <c r="I77" s="38">
        <v>6307</v>
      </c>
      <c r="J77" s="37" t="s">
        <v>103</v>
      </c>
      <c r="K77" s="38">
        <f>SUM(B77:I78)</f>
        <v>111618</v>
      </c>
      <c r="L77" s="3"/>
    </row>
    <row r="78" spans="1:12">
      <c r="A78" s="39"/>
      <c r="B78" s="40">
        <v>25561</v>
      </c>
      <c r="C78" s="40">
        <v>67731</v>
      </c>
      <c r="D78" s="40">
        <v>2990</v>
      </c>
      <c r="E78" s="40">
        <v>7697</v>
      </c>
      <c r="F78" s="40">
        <v>1332</v>
      </c>
      <c r="G78" s="40"/>
      <c r="H78" s="38"/>
      <c r="I78" s="38"/>
      <c r="J78" s="38"/>
      <c r="K78" s="39"/>
      <c r="L78" s="3"/>
    </row>
    <row r="79" spans="1:1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>
      <c r="A80" s="7" t="s">
        <v>58</v>
      </c>
      <c r="B80" s="8" t="s">
        <v>121</v>
      </c>
      <c r="C80" s="8" t="s">
        <v>476</v>
      </c>
      <c r="D80" s="8"/>
      <c r="E80" s="8" t="s">
        <v>476</v>
      </c>
      <c r="F80" s="8" t="s">
        <v>121</v>
      </c>
      <c r="G80" s="8"/>
      <c r="H80" s="8"/>
      <c r="I80" s="9">
        <v>14945</v>
      </c>
      <c r="J80" s="8" t="s">
        <v>42</v>
      </c>
      <c r="K80" s="9">
        <f>SUM(B80:I81)</f>
        <v>120829</v>
      </c>
      <c r="L80" s="3"/>
    </row>
    <row r="81" spans="1:12">
      <c r="A81" s="3"/>
      <c r="B81" s="10">
        <v>96423</v>
      </c>
      <c r="C81" s="10">
        <v>2501</v>
      </c>
      <c r="D81" s="10"/>
      <c r="E81" s="10">
        <v>443</v>
      </c>
      <c r="F81" s="10">
        <v>6517</v>
      </c>
      <c r="G81" s="10"/>
      <c r="H81" s="9"/>
      <c r="I81" s="17"/>
      <c r="J81" s="9"/>
      <c r="K81" s="3"/>
      <c r="L81" s="3"/>
    </row>
    <row r="82" spans="1:12">
      <c r="A82" s="3"/>
      <c r="B82" s="3"/>
      <c r="C82" s="3"/>
      <c r="D82" s="3"/>
      <c r="E82" s="3"/>
      <c r="F82" s="3"/>
      <c r="G82" s="3"/>
      <c r="H82" s="3"/>
      <c r="I82" s="15"/>
      <c r="J82" s="3"/>
      <c r="K82" s="3"/>
      <c r="L82" s="3"/>
    </row>
    <row r="83" spans="1:12">
      <c r="A83" s="36" t="s">
        <v>59</v>
      </c>
      <c r="B83" s="37" t="s">
        <v>316</v>
      </c>
      <c r="C83" s="37" t="s">
        <v>477</v>
      </c>
      <c r="D83" s="37"/>
      <c r="E83" s="37"/>
      <c r="F83" s="37" t="s">
        <v>316</v>
      </c>
      <c r="G83" s="37"/>
      <c r="H83" s="37"/>
      <c r="I83" s="38">
        <v>16408</v>
      </c>
      <c r="J83" s="37" t="s">
        <v>317</v>
      </c>
      <c r="K83" s="38">
        <f>SUM(B83:I84)</f>
        <v>97501</v>
      </c>
      <c r="L83" s="3"/>
    </row>
    <row r="84" spans="1:12">
      <c r="A84" s="39"/>
      <c r="B84" s="40">
        <v>65253</v>
      </c>
      <c r="C84" s="40">
        <v>10787</v>
      </c>
      <c r="D84" s="38"/>
      <c r="E84" s="43"/>
      <c r="F84" s="43">
        <v>5053</v>
      </c>
      <c r="G84" s="43"/>
      <c r="H84" s="43"/>
      <c r="I84" s="43"/>
      <c r="J84" s="43"/>
      <c r="K84" s="50"/>
      <c r="L84" s="3"/>
    </row>
    <row r="85" spans="1:12">
      <c r="A85" s="3"/>
      <c r="B85" s="10"/>
      <c r="C85" s="10"/>
      <c r="D85" s="9"/>
      <c r="E85" s="23"/>
      <c r="F85" s="23"/>
      <c r="G85" s="23"/>
      <c r="H85" s="23"/>
      <c r="I85" s="23"/>
      <c r="J85" s="23"/>
      <c r="K85" s="24"/>
      <c r="L85" s="3"/>
    </row>
    <row r="86" spans="1:12">
      <c r="A86" s="7" t="s">
        <v>63</v>
      </c>
      <c r="B86" s="8" t="s">
        <v>141</v>
      </c>
      <c r="C86" s="8"/>
      <c r="D86" s="8"/>
      <c r="E86" s="8"/>
      <c r="F86" s="8" t="s">
        <v>141</v>
      </c>
      <c r="G86" s="8"/>
      <c r="H86" s="8"/>
      <c r="I86" s="17">
        <v>32371</v>
      </c>
      <c r="J86" s="8" t="s">
        <v>142</v>
      </c>
      <c r="K86" s="9">
        <f>SUM(B86:I87)</f>
        <v>125840</v>
      </c>
      <c r="L86" s="3"/>
    </row>
    <row r="87" spans="1:12">
      <c r="A87" s="3"/>
      <c r="B87" s="10">
        <v>87416</v>
      </c>
      <c r="C87" s="9"/>
      <c r="D87" s="9"/>
      <c r="E87" s="9"/>
      <c r="F87" s="9">
        <v>6053</v>
      </c>
      <c r="G87" s="9"/>
      <c r="H87" s="11"/>
      <c r="I87" s="17"/>
      <c r="J87" s="9"/>
      <c r="K87" s="3"/>
      <c r="L87" s="3"/>
    </row>
    <row r="88" spans="1:12">
      <c r="A88" s="3"/>
      <c r="B88" s="3"/>
      <c r="C88" s="3"/>
      <c r="D88" s="3"/>
      <c r="E88" s="3"/>
      <c r="F88" s="3"/>
      <c r="G88" s="3"/>
      <c r="H88" s="3"/>
      <c r="I88" s="17"/>
      <c r="J88" s="11"/>
      <c r="K88" s="3"/>
      <c r="L88" s="3"/>
    </row>
    <row r="89" spans="1:12">
      <c r="A89" s="36" t="s">
        <v>65</v>
      </c>
      <c r="B89" s="37" t="s">
        <v>78</v>
      </c>
      <c r="C89" s="37" t="s">
        <v>478</v>
      </c>
      <c r="D89" s="37" t="s">
        <v>478</v>
      </c>
      <c r="E89" s="37"/>
      <c r="F89" s="37" t="s">
        <v>78</v>
      </c>
      <c r="G89" s="37"/>
      <c r="H89" s="40"/>
      <c r="I89" s="38">
        <v>13604</v>
      </c>
      <c r="J89" s="37" t="s">
        <v>79</v>
      </c>
      <c r="K89" s="38">
        <f>SUM(B89:I90)</f>
        <v>126334</v>
      </c>
      <c r="L89" s="3"/>
    </row>
    <row r="90" spans="1:12">
      <c r="A90" s="39"/>
      <c r="B90" s="40">
        <v>80868</v>
      </c>
      <c r="C90" s="38">
        <v>28123</v>
      </c>
      <c r="D90" s="40">
        <v>1280</v>
      </c>
      <c r="E90" s="40"/>
      <c r="F90" s="40">
        <v>2459</v>
      </c>
      <c r="G90" s="40"/>
      <c r="H90" s="40"/>
      <c r="I90" s="38"/>
      <c r="J90" s="38"/>
      <c r="K90" s="39"/>
      <c r="L90" s="3"/>
    </row>
    <row r="91" spans="1:12">
      <c r="A91" s="3"/>
      <c r="B91" s="3"/>
      <c r="C91" s="3"/>
      <c r="D91" s="3"/>
      <c r="E91" s="3"/>
      <c r="F91" s="3"/>
      <c r="G91" s="3"/>
      <c r="H91" s="3"/>
      <c r="I91" s="17"/>
      <c r="J91" s="11"/>
      <c r="K91" s="3"/>
      <c r="L91" s="3"/>
    </row>
    <row r="92" spans="1:12">
      <c r="A92" s="3" t="s">
        <v>67</v>
      </c>
      <c r="B92" s="10" t="s">
        <v>95</v>
      </c>
      <c r="C92" s="10"/>
      <c r="D92" s="10"/>
      <c r="E92" s="10" t="s">
        <v>479</v>
      </c>
      <c r="F92" s="10" t="s">
        <v>95</v>
      </c>
      <c r="G92" s="10" t="s">
        <v>511</v>
      </c>
      <c r="H92" s="10"/>
      <c r="I92" s="17">
        <v>16578</v>
      </c>
      <c r="J92" s="8" t="s">
        <v>109</v>
      </c>
      <c r="K92" s="9">
        <f>SUM(B92:I93)</f>
        <v>93841</v>
      </c>
      <c r="L92" s="3"/>
    </row>
    <row r="93" spans="1:12">
      <c r="A93" s="3"/>
      <c r="B93" s="10">
        <v>70878</v>
      </c>
      <c r="C93" s="9"/>
      <c r="D93" s="9"/>
      <c r="E93" s="9">
        <v>3381</v>
      </c>
      <c r="F93" s="9">
        <v>1759</v>
      </c>
      <c r="G93" s="9">
        <v>1245</v>
      </c>
      <c r="H93" s="9"/>
      <c r="I93" s="17"/>
      <c r="J93" s="9"/>
      <c r="K93" s="3"/>
      <c r="L93" s="3"/>
    </row>
    <row r="94" spans="1:12">
      <c r="A94" s="3"/>
      <c r="B94" s="3"/>
      <c r="C94" s="3"/>
      <c r="D94" s="3"/>
      <c r="E94" s="3"/>
      <c r="F94" s="3"/>
      <c r="G94" s="3"/>
      <c r="H94" s="3"/>
      <c r="I94" s="17"/>
      <c r="J94" s="9"/>
      <c r="K94" s="3"/>
      <c r="L94" s="3"/>
    </row>
    <row r="95" spans="1:12">
      <c r="A95" s="39" t="s">
        <v>68</v>
      </c>
      <c r="B95" s="40" t="s">
        <v>321</v>
      </c>
      <c r="C95" s="40"/>
      <c r="D95" s="40"/>
      <c r="E95" s="40"/>
      <c r="F95" s="40" t="s">
        <v>321</v>
      </c>
      <c r="G95" s="40"/>
      <c r="H95" s="40"/>
      <c r="I95" s="38">
        <v>25895</v>
      </c>
      <c r="J95" s="40" t="s">
        <v>323</v>
      </c>
      <c r="K95" s="38">
        <f>SUM(B95:I96)</f>
        <v>124096</v>
      </c>
      <c r="L95" s="3"/>
    </row>
    <row r="96" spans="1:12">
      <c r="A96" s="39"/>
      <c r="B96" s="40">
        <v>94551</v>
      </c>
      <c r="C96" s="38"/>
      <c r="D96" s="40"/>
      <c r="E96" s="40"/>
      <c r="F96" s="40">
        <v>3650</v>
      </c>
      <c r="G96" s="40"/>
      <c r="H96" s="38"/>
      <c r="I96" s="38"/>
      <c r="J96" s="38"/>
      <c r="K96" s="39"/>
      <c r="L96" s="3"/>
    </row>
    <row r="97" spans="1:12">
      <c r="A97" s="3"/>
      <c r="B97" s="3"/>
      <c r="C97" s="3"/>
      <c r="D97" s="3"/>
      <c r="E97" s="3"/>
      <c r="F97" s="3"/>
      <c r="G97" s="3"/>
      <c r="H97" s="11"/>
      <c r="I97" s="17"/>
      <c r="J97" s="9"/>
      <c r="K97" s="3"/>
      <c r="L97" s="3"/>
    </row>
    <row r="98" spans="1:12">
      <c r="A98" s="3" t="s">
        <v>69</v>
      </c>
      <c r="B98" s="10" t="s">
        <v>395</v>
      </c>
      <c r="C98" s="10" t="s">
        <v>480</v>
      </c>
      <c r="D98" s="10"/>
      <c r="E98" s="10"/>
      <c r="F98" s="10"/>
      <c r="G98" s="10"/>
      <c r="H98" s="10"/>
      <c r="I98" s="17">
        <v>18095</v>
      </c>
      <c r="J98" s="10" t="s">
        <v>396</v>
      </c>
      <c r="K98" s="9">
        <f>SUM(B98:I99)</f>
        <v>111223</v>
      </c>
      <c r="L98" s="3"/>
    </row>
    <row r="99" spans="1:12">
      <c r="A99" s="3"/>
      <c r="B99" s="10">
        <v>84944</v>
      </c>
      <c r="C99" s="10">
        <v>8184</v>
      </c>
      <c r="D99" s="10"/>
      <c r="E99" s="10"/>
      <c r="F99" s="10"/>
      <c r="G99" s="10"/>
      <c r="H99" s="9"/>
      <c r="I99" s="17"/>
      <c r="J99" s="9"/>
      <c r="K99" s="3"/>
      <c r="L99" s="3"/>
    </row>
    <row r="100" spans="1:12">
      <c r="A100" s="3"/>
      <c r="B100" s="3"/>
      <c r="C100" s="3"/>
      <c r="D100" s="3"/>
      <c r="E100" s="3"/>
      <c r="F100" s="3"/>
      <c r="G100" s="3"/>
      <c r="H100" s="9"/>
      <c r="I100" s="17"/>
      <c r="J100" s="9"/>
      <c r="K100" s="3"/>
      <c r="L100" s="3"/>
    </row>
    <row r="101" spans="1:12">
      <c r="A101" s="39" t="s">
        <v>70</v>
      </c>
      <c r="B101" s="40" t="s">
        <v>481</v>
      </c>
      <c r="C101" s="40" t="s">
        <v>481</v>
      </c>
      <c r="D101" s="40" t="s">
        <v>482</v>
      </c>
      <c r="E101" s="40" t="s">
        <v>481</v>
      </c>
      <c r="F101" s="40"/>
      <c r="G101" s="40"/>
      <c r="H101" s="40"/>
      <c r="I101" s="38">
        <v>11772</v>
      </c>
      <c r="J101" s="40" t="s">
        <v>483</v>
      </c>
      <c r="K101" s="38">
        <f>SUM(B101:I102)</f>
        <v>86910</v>
      </c>
      <c r="L101" s="3"/>
    </row>
    <row r="102" spans="1:12">
      <c r="A102" s="39"/>
      <c r="B102" s="40">
        <v>70788</v>
      </c>
      <c r="C102" s="40">
        <v>1565</v>
      </c>
      <c r="D102" s="40">
        <v>2188</v>
      </c>
      <c r="E102" s="40">
        <v>597</v>
      </c>
      <c r="F102" s="40"/>
      <c r="G102" s="40"/>
      <c r="H102" s="38"/>
      <c r="I102" s="38"/>
      <c r="J102" s="38"/>
      <c r="K102" s="39"/>
      <c r="L102" s="3"/>
    </row>
    <row r="103" spans="1:12">
      <c r="A103" s="3"/>
      <c r="B103" s="3"/>
      <c r="C103" s="3"/>
      <c r="D103" s="3"/>
      <c r="E103" s="3"/>
      <c r="F103" s="3"/>
      <c r="G103" s="3"/>
      <c r="H103" s="3"/>
      <c r="I103" s="17"/>
      <c r="J103" s="9"/>
      <c r="K103" s="3"/>
      <c r="L103" s="3"/>
    </row>
    <row r="104" spans="1:12">
      <c r="A104" s="3" t="s">
        <v>71</v>
      </c>
      <c r="B104" s="10" t="s">
        <v>122</v>
      </c>
      <c r="C104" s="10" t="s">
        <v>484</v>
      </c>
      <c r="D104" s="10"/>
      <c r="E104" s="10" t="s">
        <v>484</v>
      </c>
      <c r="F104" s="10" t="s">
        <v>122</v>
      </c>
      <c r="G104" s="10"/>
      <c r="H104" s="10"/>
      <c r="I104" s="17">
        <v>10018</v>
      </c>
      <c r="J104" s="10" t="s">
        <v>123</v>
      </c>
      <c r="K104" s="9">
        <f>SUM(B104:I105)</f>
        <v>69481</v>
      </c>
      <c r="L104" s="3"/>
    </row>
    <row r="105" spans="1:12">
      <c r="A105" s="3"/>
      <c r="B105" s="10">
        <v>56222</v>
      </c>
      <c r="C105" s="10">
        <v>1884</v>
      </c>
      <c r="D105" s="10"/>
      <c r="E105" s="10">
        <v>412</v>
      </c>
      <c r="F105" s="10">
        <v>945</v>
      </c>
      <c r="G105" s="10"/>
      <c r="H105" s="9"/>
      <c r="I105" s="17"/>
      <c r="J105" s="9"/>
      <c r="K105" s="3"/>
      <c r="L105" s="3"/>
    </row>
    <row r="106" spans="1:12">
      <c r="A106" s="3"/>
      <c r="B106" s="3"/>
      <c r="C106" s="3"/>
      <c r="D106" s="3"/>
      <c r="E106" s="3"/>
      <c r="F106" s="3"/>
      <c r="G106" s="3"/>
      <c r="H106" s="3"/>
      <c r="I106" s="15"/>
      <c r="J106" s="3"/>
      <c r="K106" s="3"/>
      <c r="L106" s="3"/>
    </row>
    <row r="107" spans="1:12">
      <c r="A107" s="44" t="s">
        <v>5</v>
      </c>
      <c r="B107" s="37" t="s">
        <v>96</v>
      </c>
      <c r="C107" s="37" t="s">
        <v>96</v>
      </c>
      <c r="D107" s="37" t="s">
        <v>96</v>
      </c>
      <c r="E107" s="37" t="s">
        <v>485</v>
      </c>
      <c r="F107" s="37" t="s">
        <v>96</v>
      </c>
      <c r="G107" s="37" t="s">
        <v>354</v>
      </c>
      <c r="H107" s="37"/>
      <c r="I107" s="38">
        <v>10886</v>
      </c>
      <c r="J107" s="37" t="s">
        <v>329</v>
      </c>
      <c r="K107" s="38">
        <f>SUM(B107:I108)</f>
        <v>96595</v>
      </c>
      <c r="L107" s="3"/>
    </row>
    <row r="108" spans="1:12">
      <c r="A108" s="38"/>
      <c r="B108" s="38">
        <v>62167</v>
      </c>
      <c r="C108" s="40">
        <v>15360</v>
      </c>
      <c r="D108" s="40">
        <v>795</v>
      </c>
      <c r="E108" s="40">
        <v>3940</v>
      </c>
      <c r="F108" s="40">
        <v>2099</v>
      </c>
      <c r="G108" s="40">
        <v>1348</v>
      </c>
      <c r="H108" s="40"/>
      <c r="I108" s="38"/>
      <c r="J108" s="41"/>
      <c r="K108" s="39"/>
      <c r="L108" s="3"/>
    </row>
    <row r="109" spans="1:12">
      <c r="A109" s="9"/>
      <c r="B109" s="3"/>
      <c r="C109" s="3"/>
      <c r="D109" s="3"/>
      <c r="E109" s="3"/>
      <c r="F109" s="3"/>
      <c r="G109" s="3"/>
      <c r="H109" s="3"/>
      <c r="I109" s="17"/>
      <c r="J109" s="9"/>
      <c r="K109" s="3"/>
      <c r="L109" s="3"/>
    </row>
    <row r="110" spans="1:12">
      <c r="A110" s="25" t="s">
        <v>104</v>
      </c>
      <c r="B110" s="8" t="s">
        <v>97</v>
      </c>
      <c r="C110" s="8"/>
      <c r="D110" s="8" t="s">
        <v>97</v>
      </c>
      <c r="E110" s="8"/>
      <c r="F110" s="8" t="s">
        <v>97</v>
      </c>
      <c r="G110" s="8"/>
      <c r="H110" s="8"/>
      <c r="I110" s="14">
        <v>31310</v>
      </c>
      <c r="J110" s="8" t="s">
        <v>105</v>
      </c>
      <c r="K110" s="9">
        <f>SUM(B110:I111)</f>
        <v>115490</v>
      </c>
      <c r="L110" s="3"/>
    </row>
    <row r="111" spans="1:12">
      <c r="A111" s="9"/>
      <c r="B111" s="17">
        <v>77012</v>
      </c>
      <c r="C111" s="14"/>
      <c r="D111" s="14">
        <v>3124</v>
      </c>
      <c r="E111" s="14"/>
      <c r="F111" s="14">
        <v>4044</v>
      </c>
      <c r="G111" s="14"/>
      <c r="H111" s="14"/>
      <c r="I111" s="17"/>
      <c r="J111" s="11"/>
      <c r="K111" s="3"/>
      <c r="L111" s="3"/>
    </row>
    <row r="112" spans="1:12">
      <c r="A112" s="9"/>
      <c r="B112" s="3"/>
      <c r="C112" s="3"/>
      <c r="D112" s="3"/>
      <c r="E112" s="3"/>
      <c r="F112" s="3"/>
      <c r="G112" s="3"/>
      <c r="H112" s="3"/>
      <c r="I112" s="17"/>
      <c r="J112" s="9"/>
      <c r="K112" s="3"/>
      <c r="L112" s="3"/>
    </row>
    <row r="113" spans="1:12">
      <c r="A113" s="41" t="s">
        <v>8</v>
      </c>
      <c r="B113" s="37" t="s">
        <v>401</v>
      </c>
      <c r="C113" s="37"/>
      <c r="D113" s="37"/>
      <c r="E113" s="37" t="s">
        <v>124</v>
      </c>
      <c r="F113" s="37"/>
      <c r="G113" s="37"/>
      <c r="H113" s="37"/>
      <c r="I113" s="38">
        <v>12891</v>
      </c>
      <c r="J113" s="37" t="s">
        <v>403</v>
      </c>
      <c r="K113" s="38">
        <f>SUM(B113:I114)</f>
        <v>101644</v>
      </c>
      <c r="L113" s="3"/>
    </row>
    <row r="114" spans="1:12">
      <c r="A114" s="38"/>
      <c r="B114" s="38">
        <v>86733</v>
      </c>
      <c r="C114" s="38"/>
      <c r="D114" s="38"/>
      <c r="E114" s="38">
        <v>2020</v>
      </c>
      <c r="F114" s="38"/>
      <c r="G114" s="38"/>
      <c r="H114" s="38"/>
      <c r="I114" s="38"/>
      <c r="J114" s="41"/>
      <c r="K114" s="39"/>
      <c r="L114" s="3"/>
    </row>
    <row r="115" spans="1:12">
      <c r="A115" s="9"/>
      <c r="B115" s="3"/>
      <c r="C115" s="3"/>
      <c r="D115" s="3"/>
      <c r="E115" s="3"/>
      <c r="F115" s="3"/>
      <c r="G115" s="3"/>
      <c r="H115" s="3"/>
      <c r="I115" s="15"/>
      <c r="J115" s="9"/>
      <c r="K115" s="3"/>
      <c r="L115" s="3"/>
    </row>
    <row r="116" spans="1:12">
      <c r="A116" s="11" t="s">
        <v>10</v>
      </c>
      <c r="B116" s="8" t="s">
        <v>330</v>
      </c>
      <c r="C116" s="8" t="s">
        <v>486</v>
      </c>
      <c r="D116" s="8" t="s">
        <v>486</v>
      </c>
      <c r="E116" s="8" t="s">
        <v>486</v>
      </c>
      <c r="F116" s="8" t="s">
        <v>330</v>
      </c>
      <c r="G116" s="8"/>
      <c r="H116" s="8"/>
      <c r="I116" s="14">
        <v>11964</v>
      </c>
      <c r="J116" s="8" t="s">
        <v>332</v>
      </c>
      <c r="K116" s="9">
        <f>SUM(B116:I117)</f>
        <v>130774</v>
      </c>
      <c r="L116" s="3"/>
    </row>
    <row r="117" spans="1:12">
      <c r="A117" s="9"/>
      <c r="B117" s="10">
        <v>61010</v>
      </c>
      <c r="C117" s="9">
        <v>48125</v>
      </c>
      <c r="D117" s="9">
        <v>1927</v>
      </c>
      <c r="E117" s="9">
        <v>4522</v>
      </c>
      <c r="F117" s="9">
        <v>3226</v>
      </c>
      <c r="G117" s="9"/>
      <c r="H117" s="9"/>
      <c r="I117" s="17"/>
      <c r="J117" s="11"/>
      <c r="K117" s="3"/>
      <c r="L117" s="3"/>
    </row>
    <row r="118" spans="1:12">
      <c r="A118" s="9"/>
      <c r="B118" s="9"/>
      <c r="C118" s="9"/>
      <c r="D118" s="9"/>
      <c r="E118" s="9"/>
      <c r="F118" s="9"/>
      <c r="G118" s="9"/>
      <c r="H118" s="9"/>
      <c r="I118" s="17"/>
      <c r="J118" s="9"/>
      <c r="K118" s="3"/>
      <c r="L118" s="3"/>
    </row>
    <row r="119" spans="1:12">
      <c r="A119" s="41" t="s">
        <v>14</v>
      </c>
      <c r="B119" s="37" t="s">
        <v>125</v>
      </c>
      <c r="C119" s="37" t="s">
        <v>487</v>
      </c>
      <c r="D119" s="37" t="s">
        <v>125</v>
      </c>
      <c r="E119" s="37"/>
      <c r="F119" s="37" t="s">
        <v>125</v>
      </c>
      <c r="G119" s="37"/>
      <c r="H119" s="37"/>
      <c r="I119" s="38">
        <v>12593</v>
      </c>
      <c r="J119" s="37" t="s">
        <v>143</v>
      </c>
      <c r="K119" s="38">
        <f>SUM(B119:I120)</f>
        <v>119481</v>
      </c>
      <c r="L119" s="3"/>
    </row>
    <row r="120" spans="1:12">
      <c r="A120" s="38"/>
      <c r="B120" s="38">
        <v>68524</v>
      </c>
      <c r="C120" s="38">
        <v>31460</v>
      </c>
      <c r="D120" s="38">
        <v>2817</v>
      </c>
      <c r="E120" s="38"/>
      <c r="F120" s="38">
        <v>4087</v>
      </c>
      <c r="G120" s="38"/>
      <c r="H120" s="38"/>
      <c r="I120" s="38"/>
      <c r="J120" s="41"/>
      <c r="K120" s="39"/>
      <c r="L120" s="3"/>
    </row>
    <row r="121" spans="1:12">
      <c r="A121" s="9"/>
      <c r="B121" s="3"/>
      <c r="C121" s="3"/>
      <c r="D121" s="3"/>
      <c r="E121" s="3"/>
      <c r="F121" s="3"/>
      <c r="G121" s="3"/>
      <c r="H121" s="9"/>
      <c r="I121" s="17"/>
      <c r="J121" s="9"/>
      <c r="K121" s="3"/>
      <c r="L121" s="3"/>
    </row>
    <row r="122" spans="1:12">
      <c r="A122" s="11" t="s">
        <v>17</v>
      </c>
      <c r="B122" s="8" t="s">
        <v>334</v>
      </c>
      <c r="C122" s="8" t="s">
        <v>335</v>
      </c>
      <c r="D122" s="8" t="s">
        <v>336</v>
      </c>
      <c r="E122" s="8" t="s">
        <v>336</v>
      </c>
      <c r="F122" s="8" t="s">
        <v>334</v>
      </c>
      <c r="G122" s="8"/>
      <c r="H122" s="8"/>
      <c r="I122" s="17">
        <v>8684</v>
      </c>
      <c r="J122" s="8" t="s">
        <v>337</v>
      </c>
      <c r="K122" s="9">
        <f>SUM(B122:I123)</f>
        <v>113351</v>
      </c>
      <c r="L122" s="3"/>
    </row>
    <row r="123" spans="1:12">
      <c r="A123" s="9"/>
      <c r="B123" s="9">
        <v>46126</v>
      </c>
      <c r="C123" s="9">
        <v>45942</v>
      </c>
      <c r="D123" s="9">
        <v>2257</v>
      </c>
      <c r="E123" s="9">
        <v>6722</v>
      </c>
      <c r="F123" s="9">
        <v>3620</v>
      </c>
      <c r="G123" s="9"/>
      <c r="H123" s="11"/>
      <c r="I123" s="17"/>
      <c r="J123" s="11"/>
      <c r="K123" s="3"/>
      <c r="L123" s="3"/>
    </row>
    <row r="124" spans="1:12">
      <c r="A124" s="9"/>
      <c r="B124" s="3"/>
      <c r="C124" s="3"/>
      <c r="D124" s="3"/>
      <c r="E124" s="3"/>
      <c r="F124" s="3"/>
      <c r="G124" s="3"/>
      <c r="H124" s="9"/>
      <c r="I124" s="17"/>
      <c r="J124" s="9"/>
      <c r="K124" s="3"/>
      <c r="L124" s="3"/>
    </row>
    <row r="125" spans="1:12">
      <c r="A125" s="41" t="s">
        <v>19</v>
      </c>
      <c r="B125" s="37" t="s">
        <v>407</v>
      </c>
      <c r="C125" s="37" t="s">
        <v>180</v>
      </c>
      <c r="D125" s="37" t="s">
        <v>180</v>
      </c>
      <c r="E125" s="37" t="s">
        <v>180</v>
      </c>
      <c r="F125" s="37" t="s">
        <v>407</v>
      </c>
      <c r="G125" s="37" t="s">
        <v>407</v>
      </c>
      <c r="H125" s="37"/>
      <c r="I125" s="40">
        <v>9579</v>
      </c>
      <c r="J125" s="37" t="s">
        <v>488</v>
      </c>
      <c r="K125" s="38">
        <f>SUM(B125:I126)</f>
        <v>136895</v>
      </c>
      <c r="L125" s="3"/>
    </row>
    <row r="126" spans="1:12">
      <c r="A126" s="38"/>
      <c r="B126" s="38">
        <v>57364</v>
      </c>
      <c r="C126" s="38">
        <v>54651</v>
      </c>
      <c r="D126" s="38">
        <v>2743</v>
      </c>
      <c r="E126" s="38">
        <v>7597</v>
      </c>
      <c r="F126" s="38">
        <v>3516</v>
      </c>
      <c r="G126" s="38">
        <v>1445</v>
      </c>
      <c r="H126" s="41"/>
      <c r="I126" s="38"/>
      <c r="J126" s="41"/>
      <c r="K126" s="39"/>
      <c r="L126" s="3"/>
    </row>
    <row r="127" spans="1:12">
      <c r="A127" s="9"/>
      <c r="B127" s="3"/>
      <c r="C127" s="3"/>
      <c r="D127" s="3"/>
      <c r="E127" s="3"/>
      <c r="F127" s="3"/>
      <c r="G127" s="3"/>
      <c r="H127" s="9"/>
      <c r="I127" s="9"/>
      <c r="J127" s="9"/>
      <c r="K127" s="3"/>
      <c r="L127" s="3"/>
    </row>
    <row r="128" spans="1:12">
      <c r="A128" s="11" t="s">
        <v>20</v>
      </c>
      <c r="B128" s="8" t="s">
        <v>340</v>
      </c>
      <c r="C128" s="8" t="s">
        <v>489</v>
      </c>
      <c r="D128" s="8" t="s">
        <v>489</v>
      </c>
      <c r="E128" s="8" t="s">
        <v>490</v>
      </c>
      <c r="F128" s="8" t="s">
        <v>340</v>
      </c>
      <c r="G128" s="8"/>
      <c r="H128" s="8"/>
      <c r="I128" s="10">
        <v>9417</v>
      </c>
      <c r="J128" s="8" t="s">
        <v>491</v>
      </c>
      <c r="K128" s="9">
        <f>SUM(B128:I129)</f>
        <v>131745</v>
      </c>
      <c r="L128" s="3"/>
    </row>
    <row r="129" spans="1:12">
      <c r="A129" s="9"/>
      <c r="B129" s="9">
        <v>48314</v>
      </c>
      <c r="C129" s="9">
        <v>47162</v>
      </c>
      <c r="D129" s="9">
        <v>4304</v>
      </c>
      <c r="E129" s="9">
        <v>17300</v>
      </c>
      <c r="F129" s="9">
        <v>5248</v>
      </c>
      <c r="G129" s="9"/>
      <c r="H129" s="9"/>
      <c r="I129" s="9"/>
      <c r="J129" s="11"/>
      <c r="K129" s="3"/>
      <c r="L129" s="3"/>
    </row>
    <row r="130" spans="1:12">
      <c r="A130" s="9"/>
      <c r="B130" s="3"/>
      <c r="C130" s="3"/>
      <c r="D130" s="3"/>
      <c r="E130" s="3"/>
      <c r="F130" s="3"/>
      <c r="G130" s="3"/>
      <c r="H130" s="3"/>
      <c r="I130" s="9"/>
      <c r="J130" s="9"/>
      <c r="K130" s="3"/>
      <c r="L130" s="3"/>
    </row>
    <row r="131" spans="1:12">
      <c r="A131" s="41" t="s">
        <v>22</v>
      </c>
      <c r="B131" s="37"/>
      <c r="C131" s="37" t="s">
        <v>342</v>
      </c>
      <c r="D131" s="37" t="s">
        <v>342</v>
      </c>
      <c r="E131" s="37" t="s">
        <v>342</v>
      </c>
      <c r="F131" s="37"/>
      <c r="G131" s="37"/>
      <c r="H131" s="37"/>
      <c r="I131" s="40">
        <v>42704</v>
      </c>
      <c r="J131" s="37" t="s">
        <v>343</v>
      </c>
      <c r="K131" s="38">
        <f>SUM(B131:I132)</f>
        <v>115078</v>
      </c>
      <c r="L131" s="3"/>
    </row>
    <row r="132" spans="1:12">
      <c r="A132" s="38"/>
      <c r="B132" s="40"/>
      <c r="C132" s="38">
        <v>53423</v>
      </c>
      <c r="D132" s="38">
        <v>10488</v>
      </c>
      <c r="E132" s="38">
        <v>8463</v>
      </c>
      <c r="F132" s="38"/>
      <c r="G132" s="38"/>
      <c r="H132" s="38"/>
      <c r="I132" s="38"/>
      <c r="J132" s="41"/>
      <c r="K132" s="39"/>
      <c r="L132" s="3"/>
    </row>
    <row r="133" spans="1:12">
      <c r="A133" s="9"/>
      <c r="B133" s="3"/>
      <c r="C133" s="3"/>
      <c r="D133" s="3"/>
      <c r="E133" s="3"/>
      <c r="F133" s="3"/>
      <c r="G133" s="3"/>
      <c r="H133" s="3"/>
      <c r="I133" s="9"/>
      <c r="J133" s="9"/>
      <c r="K133" s="3"/>
      <c r="L133" s="3"/>
    </row>
    <row r="134" spans="1:12">
      <c r="A134" s="11" t="s">
        <v>25</v>
      </c>
      <c r="B134" s="8" t="s">
        <v>492</v>
      </c>
      <c r="C134" s="8" t="s">
        <v>345</v>
      </c>
      <c r="D134" s="8" t="s">
        <v>493</v>
      </c>
      <c r="E134" s="8" t="s">
        <v>345</v>
      </c>
      <c r="F134" s="8"/>
      <c r="G134" s="8"/>
      <c r="H134" s="8"/>
      <c r="I134" s="9">
        <v>9942</v>
      </c>
      <c r="J134" s="8" t="s">
        <v>346</v>
      </c>
      <c r="K134" s="9">
        <f>SUM(B134:I135)</f>
        <v>138749</v>
      </c>
      <c r="L134" s="3"/>
    </row>
    <row r="135" spans="1:12">
      <c r="A135" s="9"/>
      <c r="B135" s="10">
        <v>47022</v>
      </c>
      <c r="C135" s="9">
        <v>51734</v>
      </c>
      <c r="D135" s="9">
        <v>20929</v>
      </c>
      <c r="E135" s="9">
        <v>9122</v>
      </c>
      <c r="F135" s="9"/>
      <c r="G135" s="9"/>
      <c r="H135" s="9"/>
      <c r="I135" s="9"/>
      <c r="J135" s="11"/>
      <c r="K135" s="3"/>
      <c r="L135" s="3"/>
    </row>
    <row r="136" spans="1:12">
      <c r="A136" s="9"/>
      <c r="B136" s="3"/>
      <c r="C136" s="3"/>
      <c r="D136" s="3"/>
      <c r="E136" s="3"/>
      <c r="F136" s="3"/>
      <c r="G136" s="3"/>
      <c r="H136" s="3"/>
      <c r="I136" s="9"/>
      <c r="J136" s="9"/>
      <c r="K136" s="3"/>
      <c r="L136" s="3"/>
    </row>
    <row r="137" spans="1:12">
      <c r="A137" s="41" t="s">
        <v>27</v>
      </c>
      <c r="B137" s="37" t="s">
        <v>72</v>
      </c>
      <c r="C137" s="37"/>
      <c r="D137" s="37" t="s">
        <v>72</v>
      </c>
      <c r="E137" s="37"/>
      <c r="F137" s="37" t="s">
        <v>72</v>
      </c>
      <c r="G137" s="37" t="s">
        <v>512</v>
      </c>
      <c r="H137" s="37"/>
      <c r="I137" s="38">
        <v>24488</v>
      </c>
      <c r="J137" s="37" t="s">
        <v>92</v>
      </c>
      <c r="K137" s="38">
        <f>SUM(B137:I138)</f>
        <v>118940</v>
      </c>
      <c r="L137" s="3"/>
    </row>
    <row r="138" spans="1:12">
      <c r="A138" s="38"/>
      <c r="B138" s="38">
        <v>75168</v>
      </c>
      <c r="C138" s="38"/>
      <c r="D138" s="38">
        <v>5120</v>
      </c>
      <c r="E138" s="38"/>
      <c r="F138" s="38">
        <v>5368</v>
      </c>
      <c r="G138" s="38">
        <v>8796</v>
      </c>
      <c r="H138" s="38"/>
      <c r="I138" s="38"/>
      <c r="J138" s="41"/>
      <c r="K138" s="39"/>
      <c r="L138" s="3"/>
    </row>
    <row r="139" spans="1:12">
      <c r="A139" s="9"/>
      <c r="B139" s="3"/>
      <c r="C139" s="3"/>
      <c r="D139" s="3"/>
      <c r="E139" s="3"/>
      <c r="F139" s="3"/>
      <c r="G139" s="3"/>
      <c r="H139" s="9"/>
      <c r="I139" s="9"/>
      <c r="J139" s="9"/>
      <c r="K139" s="3"/>
      <c r="L139" s="3"/>
    </row>
    <row r="140" spans="1:12">
      <c r="A140" s="11" t="s">
        <v>30</v>
      </c>
      <c r="B140" s="8"/>
      <c r="C140" s="8" t="s">
        <v>86</v>
      </c>
      <c r="D140" s="8" t="s">
        <v>86</v>
      </c>
      <c r="E140" s="8" t="s">
        <v>86</v>
      </c>
      <c r="F140" s="8"/>
      <c r="G140" s="8"/>
      <c r="H140" s="8"/>
      <c r="I140" s="9">
        <v>30181</v>
      </c>
      <c r="J140" s="8" t="s">
        <v>99</v>
      </c>
      <c r="K140" s="9">
        <f>SUM(B140:I141)</f>
        <v>117447</v>
      </c>
      <c r="L140" s="3"/>
    </row>
    <row r="141" spans="1:12">
      <c r="A141" s="9"/>
      <c r="B141" s="11"/>
      <c r="C141" s="9">
        <v>66838</v>
      </c>
      <c r="D141" s="9">
        <v>11396</v>
      </c>
      <c r="E141" s="9">
        <v>9032</v>
      </c>
      <c r="F141" s="9"/>
      <c r="G141" s="9"/>
      <c r="H141" s="9"/>
      <c r="I141" s="9"/>
      <c r="J141" s="11"/>
      <c r="K141" s="3"/>
      <c r="L141" s="3"/>
    </row>
    <row r="142" spans="1:12">
      <c r="A142" s="9"/>
      <c r="B142" s="3"/>
      <c r="C142" s="3"/>
      <c r="D142" s="3"/>
      <c r="E142" s="3"/>
      <c r="F142" s="3"/>
      <c r="G142" s="3"/>
      <c r="H142" s="3"/>
      <c r="I142" s="3"/>
      <c r="J142" s="9"/>
      <c r="K142" s="3"/>
      <c r="L142" s="3"/>
    </row>
    <row r="143" spans="1:12">
      <c r="A143" s="41" t="s">
        <v>31</v>
      </c>
      <c r="B143" s="37" t="s">
        <v>411</v>
      </c>
      <c r="C143" s="37" t="s">
        <v>144</v>
      </c>
      <c r="D143" s="37" t="s">
        <v>144</v>
      </c>
      <c r="E143" s="42" t="s">
        <v>144</v>
      </c>
      <c r="F143" s="42" t="s">
        <v>411</v>
      </c>
      <c r="G143" s="42" t="s">
        <v>411</v>
      </c>
      <c r="H143" s="37"/>
      <c r="I143" s="38">
        <v>8257</v>
      </c>
      <c r="J143" s="37" t="s">
        <v>145</v>
      </c>
      <c r="K143" s="38">
        <f>SUM(B143:I144)</f>
        <v>134502</v>
      </c>
      <c r="L143" s="3"/>
    </row>
    <row r="144" spans="1:12">
      <c r="A144" s="38"/>
      <c r="B144" s="38">
        <v>55408</v>
      </c>
      <c r="C144" s="38">
        <v>51273</v>
      </c>
      <c r="D144" s="38">
        <v>3594</v>
      </c>
      <c r="E144" s="38">
        <v>8274</v>
      </c>
      <c r="F144" s="38">
        <v>5809</v>
      </c>
      <c r="G144" s="38">
        <v>1887</v>
      </c>
      <c r="H144" s="38"/>
      <c r="I144" s="38"/>
      <c r="J144" s="41"/>
      <c r="K144" s="39"/>
      <c r="L144" s="3"/>
    </row>
    <row r="145" spans="1:12">
      <c r="A145" s="9"/>
      <c r="B145" s="3"/>
      <c r="C145" s="3"/>
      <c r="D145" s="3"/>
      <c r="E145" s="3"/>
      <c r="F145" s="3"/>
      <c r="G145" s="3"/>
      <c r="H145" s="3"/>
      <c r="I145" s="9"/>
      <c r="J145" s="9"/>
      <c r="K145" s="3"/>
      <c r="L145" s="3"/>
    </row>
    <row r="146" spans="1:12">
      <c r="A146" s="11" t="s">
        <v>34</v>
      </c>
      <c r="B146" s="8"/>
      <c r="C146" s="8" t="s">
        <v>106</v>
      </c>
      <c r="D146" s="8" t="s">
        <v>106</v>
      </c>
      <c r="E146" s="8" t="s">
        <v>106</v>
      </c>
      <c r="F146" s="8"/>
      <c r="G146" s="8"/>
      <c r="H146" s="8"/>
      <c r="I146" s="9">
        <v>27198</v>
      </c>
      <c r="J146" s="8" t="s">
        <v>135</v>
      </c>
      <c r="K146" s="9">
        <f>SUM(B146:I147)</f>
        <v>108627</v>
      </c>
      <c r="L146" s="3"/>
    </row>
    <row r="147" spans="1:12">
      <c r="A147" s="9"/>
      <c r="B147" s="11"/>
      <c r="C147" s="9">
        <v>62864</v>
      </c>
      <c r="D147" s="9">
        <v>11134</v>
      </c>
      <c r="E147" s="9">
        <v>7431</v>
      </c>
      <c r="F147" s="9"/>
      <c r="G147" s="9"/>
      <c r="H147" s="9"/>
      <c r="I147" s="9"/>
      <c r="J147" s="11"/>
      <c r="K147" s="3"/>
      <c r="L147" s="3"/>
    </row>
    <row r="148" spans="1: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>
      <c r="A149" s="41" t="s">
        <v>37</v>
      </c>
      <c r="B149" s="42" t="s">
        <v>494</v>
      </c>
      <c r="C149" s="42" t="s">
        <v>126</v>
      </c>
      <c r="D149" s="42" t="s">
        <v>126</v>
      </c>
      <c r="E149" s="42" t="s">
        <v>126</v>
      </c>
      <c r="F149" s="42" t="s">
        <v>495</v>
      </c>
      <c r="G149" s="42"/>
      <c r="H149" s="42"/>
      <c r="I149" s="40">
        <v>6076</v>
      </c>
      <c r="J149" s="42" t="s">
        <v>133</v>
      </c>
      <c r="K149" s="38">
        <f>SUM(B149:I150)</f>
        <v>100562</v>
      </c>
      <c r="L149" s="3"/>
    </row>
    <row r="150" spans="1:12">
      <c r="A150" s="39"/>
      <c r="B150" s="38">
        <v>25621</v>
      </c>
      <c r="C150" s="38">
        <v>55029</v>
      </c>
      <c r="D150" s="38">
        <v>4543</v>
      </c>
      <c r="E150" s="38">
        <v>6444</v>
      </c>
      <c r="F150" s="38">
        <v>2849</v>
      </c>
      <c r="G150" s="38"/>
      <c r="H150" s="38"/>
      <c r="I150" s="39"/>
      <c r="J150" s="39"/>
      <c r="K150" s="38"/>
      <c r="L150" s="3"/>
    </row>
    <row r="151" spans="1: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9"/>
      <c r="L151" s="3"/>
    </row>
    <row r="152" spans="1: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9"/>
      <c r="L152" s="3"/>
    </row>
    <row r="153" spans="1:12">
      <c r="A153" s="11" t="s">
        <v>39</v>
      </c>
      <c r="B153" s="8" t="s">
        <v>413</v>
      </c>
      <c r="C153" s="8" t="s">
        <v>414</v>
      </c>
      <c r="D153" s="8" t="s">
        <v>414</v>
      </c>
      <c r="E153" s="8" t="s">
        <v>414</v>
      </c>
      <c r="F153" s="8" t="s">
        <v>413</v>
      </c>
      <c r="G153" s="8"/>
      <c r="H153" s="8"/>
      <c r="I153" s="9">
        <v>10344</v>
      </c>
      <c r="J153" s="8" t="s">
        <v>416</v>
      </c>
      <c r="K153" s="9">
        <f>SUM(B153:I154)</f>
        <v>126620</v>
      </c>
      <c r="L153" s="3"/>
    </row>
    <row r="154" spans="1:12">
      <c r="A154" s="9"/>
      <c r="B154" s="9">
        <v>42707</v>
      </c>
      <c r="C154" s="9">
        <v>58013</v>
      </c>
      <c r="D154" s="9">
        <v>3677</v>
      </c>
      <c r="E154" s="9">
        <v>8171</v>
      </c>
      <c r="F154" s="9">
        <v>3708</v>
      </c>
      <c r="G154" s="9"/>
      <c r="H154" s="9"/>
      <c r="I154" s="9"/>
      <c r="J154" s="11"/>
      <c r="K154" s="9"/>
      <c r="L154" s="3"/>
    </row>
    <row r="155" spans="1: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9"/>
      <c r="L155" s="3"/>
    </row>
    <row r="156" spans="1:12">
      <c r="A156" s="41" t="s">
        <v>43</v>
      </c>
      <c r="B156" s="37"/>
      <c r="C156" s="37" t="s">
        <v>87</v>
      </c>
      <c r="D156" s="37" t="s">
        <v>87</v>
      </c>
      <c r="E156" s="37" t="s">
        <v>87</v>
      </c>
      <c r="F156" s="37"/>
      <c r="G156" s="37" t="s">
        <v>513</v>
      </c>
      <c r="H156" s="37"/>
      <c r="I156" s="38">
        <v>26259</v>
      </c>
      <c r="J156" s="37" t="s">
        <v>40</v>
      </c>
      <c r="K156" s="38">
        <f>SUM(B156:I157)</f>
        <v>136760</v>
      </c>
      <c r="L156" s="3"/>
    </row>
    <row r="157" spans="1:12">
      <c r="A157" s="38"/>
      <c r="B157" s="41"/>
      <c r="C157" s="38">
        <v>72915</v>
      </c>
      <c r="D157" s="38">
        <v>11463</v>
      </c>
      <c r="E157" s="38">
        <v>10532</v>
      </c>
      <c r="F157" s="38"/>
      <c r="G157" s="38">
        <v>15591</v>
      </c>
      <c r="H157" s="38"/>
      <c r="I157" s="38"/>
      <c r="J157" s="41"/>
      <c r="K157" s="38"/>
      <c r="L157" s="3"/>
    </row>
    <row r="158" spans="1:12">
      <c r="A158" s="9"/>
      <c r="B158" s="3"/>
      <c r="C158" s="3"/>
      <c r="D158" s="3"/>
      <c r="E158" s="3"/>
      <c r="F158" s="3"/>
      <c r="G158" s="3"/>
      <c r="H158" s="3"/>
      <c r="I158" s="9"/>
      <c r="J158" s="9"/>
      <c r="K158" s="9"/>
      <c r="L158" s="3"/>
    </row>
    <row r="159" spans="1:12">
      <c r="A159" s="11" t="s">
        <v>46</v>
      </c>
      <c r="B159" s="8" t="s">
        <v>496</v>
      </c>
      <c r="C159" s="8" t="s">
        <v>88</v>
      </c>
      <c r="D159" s="8" t="s">
        <v>88</v>
      </c>
      <c r="E159" s="8" t="s">
        <v>88</v>
      </c>
      <c r="F159" s="8" t="s">
        <v>496</v>
      </c>
      <c r="G159" s="8"/>
      <c r="H159" s="8"/>
      <c r="I159" s="9">
        <v>8095</v>
      </c>
      <c r="J159" s="8" t="s">
        <v>44</v>
      </c>
      <c r="K159" s="9">
        <f>SUM(B159:I160)</f>
        <v>119489</v>
      </c>
      <c r="L159" s="3"/>
    </row>
    <row r="160" spans="1:12">
      <c r="A160" s="9"/>
      <c r="B160" s="9">
        <v>31275</v>
      </c>
      <c r="C160" s="9">
        <v>64807</v>
      </c>
      <c r="D160" s="9">
        <v>5360</v>
      </c>
      <c r="E160" s="9">
        <v>6261</v>
      </c>
      <c r="F160" s="9">
        <v>3691</v>
      </c>
      <c r="G160" s="9"/>
      <c r="H160" s="9"/>
      <c r="I160" s="9"/>
      <c r="J160" s="11"/>
      <c r="K160" s="9"/>
      <c r="L160" s="3"/>
    </row>
    <row r="161" spans="1:12">
      <c r="A161" s="9"/>
      <c r="B161" s="3"/>
      <c r="C161" s="3"/>
      <c r="D161" s="3"/>
      <c r="E161" s="3"/>
      <c r="F161" s="3"/>
      <c r="G161" s="3"/>
      <c r="H161" s="3"/>
      <c r="I161" s="9"/>
      <c r="J161" s="9"/>
      <c r="K161" s="9"/>
      <c r="L161" s="3"/>
    </row>
    <row r="162" spans="1:12">
      <c r="A162" s="41" t="s">
        <v>48</v>
      </c>
      <c r="B162" s="37" t="s">
        <v>497</v>
      </c>
      <c r="C162" s="37" t="s">
        <v>418</v>
      </c>
      <c r="D162" s="37" t="s">
        <v>418</v>
      </c>
      <c r="E162" s="37" t="s">
        <v>418</v>
      </c>
      <c r="F162" s="37" t="s">
        <v>498</v>
      </c>
      <c r="G162" s="37"/>
      <c r="H162" s="37"/>
      <c r="I162" s="38">
        <v>7385</v>
      </c>
      <c r="J162" s="37" t="s">
        <v>419</v>
      </c>
      <c r="K162" s="38">
        <f>SUM(B162:I163)</f>
        <v>119951</v>
      </c>
      <c r="L162" s="3"/>
    </row>
    <row r="163" spans="1:12">
      <c r="A163" s="38"/>
      <c r="B163" s="38">
        <v>37856</v>
      </c>
      <c r="C163" s="38">
        <v>62875</v>
      </c>
      <c r="D163" s="38">
        <v>4262</v>
      </c>
      <c r="E163" s="38">
        <v>4775</v>
      </c>
      <c r="F163" s="38">
        <v>2798</v>
      </c>
      <c r="G163" s="38"/>
      <c r="H163" s="38"/>
      <c r="I163" s="38"/>
      <c r="J163" s="41"/>
      <c r="K163" s="38"/>
      <c r="L163" s="3"/>
    </row>
    <row r="164" spans="1:12">
      <c r="A164" s="9"/>
      <c r="B164" s="3"/>
      <c r="C164" s="3"/>
      <c r="D164" s="3"/>
      <c r="E164" s="3"/>
      <c r="F164" s="3"/>
      <c r="G164" s="3"/>
      <c r="H164" s="3"/>
      <c r="I164" s="9"/>
      <c r="J164" s="9"/>
      <c r="K164" s="9"/>
      <c r="L164" s="3"/>
    </row>
    <row r="165" spans="1:12">
      <c r="A165" s="11" t="s">
        <v>50</v>
      </c>
      <c r="B165" s="8" t="s">
        <v>98</v>
      </c>
      <c r="C165" s="8"/>
      <c r="D165" s="8" t="s">
        <v>98</v>
      </c>
      <c r="E165" s="8"/>
      <c r="F165" s="8" t="s">
        <v>98</v>
      </c>
      <c r="G165" s="8"/>
      <c r="H165" s="8"/>
      <c r="I165" s="9">
        <v>29360</v>
      </c>
      <c r="J165" s="8" t="s">
        <v>110</v>
      </c>
      <c r="K165" s="9">
        <f>SUM(B165:I166)</f>
        <v>113789</v>
      </c>
      <c r="L165" s="3"/>
    </row>
    <row r="166" spans="1:12">
      <c r="A166" s="9"/>
      <c r="B166" s="11">
        <v>68897</v>
      </c>
      <c r="C166" s="9"/>
      <c r="D166" s="9">
        <v>7821</v>
      </c>
      <c r="E166" s="9"/>
      <c r="F166" s="9">
        <v>7711</v>
      </c>
      <c r="G166" s="9"/>
      <c r="H166" s="9"/>
      <c r="I166" s="9"/>
      <c r="J166" s="11"/>
      <c r="K166" s="9"/>
      <c r="L166" s="3"/>
    </row>
    <row r="167" spans="1:12">
      <c r="A167" s="9"/>
      <c r="B167" s="3"/>
      <c r="C167" s="3"/>
      <c r="D167" s="3"/>
      <c r="E167" s="3"/>
      <c r="F167" s="3"/>
      <c r="G167" s="3"/>
      <c r="H167" s="3"/>
      <c r="I167" s="9"/>
      <c r="J167" s="9"/>
      <c r="K167" s="9"/>
      <c r="L167" s="3"/>
    </row>
    <row r="168" spans="1:12">
      <c r="A168" s="41" t="s">
        <v>51</v>
      </c>
      <c r="B168" s="37"/>
      <c r="C168" s="37" t="s">
        <v>420</v>
      </c>
      <c r="D168" s="37" t="s">
        <v>420</v>
      </c>
      <c r="E168" s="37" t="s">
        <v>420</v>
      </c>
      <c r="F168" s="37"/>
      <c r="G168" s="37"/>
      <c r="H168" s="37"/>
      <c r="I168" s="38">
        <v>28969</v>
      </c>
      <c r="J168" s="37" t="s">
        <v>421</v>
      </c>
      <c r="K168" s="38">
        <f>SUM(B168:I169)</f>
        <v>125271</v>
      </c>
      <c r="L168" s="3"/>
    </row>
    <row r="169" spans="1:12">
      <c r="A169" s="38"/>
      <c r="B169" s="38"/>
      <c r="C169" s="38">
        <v>73204</v>
      </c>
      <c r="D169" s="38">
        <v>11074</v>
      </c>
      <c r="E169" s="38">
        <v>12024</v>
      </c>
      <c r="F169" s="38"/>
      <c r="G169" s="38"/>
      <c r="H169" s="41"/>
      <c r="I169" s="38"/>
      <c r="J169" s="41"/>
      <c r="K169" s="38"/>
      <c r="L169" s="3"/>
    </row>
    <row r="170" spans="1:12">
      <c r="A170" s="9"/>
      <c r="B170" s="3"/>
      <c r="C170" s="3"/>
      <c r="D170" s="3"/>
      <c r="E170" s="3"/>
      <c r="F170" s="3"/>
      <c r="G170" s="3"/>
      <c r="H170" s="3"/>
      <c r="I170" s="9"/>
      <c r="J170" s="9"/>
      <c r="K170" s="9"/>
      <c r="L170" s="3"/>
    </row>
    <row r="171" spans="1:12">
      <c r="A171" s="11" t="s">
        <v>53</v>
      </c>
      <c r="B171" s="8" t="s">
        <v>422</v>
      </c>
      <c r="C171" s="8" t="s">
        <v>499</v>
      </c>
      <c r="D171" s="8" t="s">
        <v>499</v>
      </c>
      <c r="E171" s="8" t="s">
        <v>499</v>
      </c>
      <c r="F171" s="8" t="s">
        <v>422</v>
      </c>
      <c r="G171" s="8"/>
      <c r="H171" s="8"/>
      <c r="I171" s="9">
        <v>10190</v>
      </c>
      <c r="J171" s="8" t="s">
        <v>500</v>
      </c>
      <c r="K171" s="9">
        <f>SUM(B171:I172)</f>
        <v>144782</v>
      </c>
      <c r="L171" s="3"/>
    </row>
    <row r="172" spans="1:12">
      <c r="A172" s="9"/>
      <c r="B172" s="9">
        <v>64973</v>
      </c>
      <c r="C172" s="9">
        <v>53643</v>
      </c>
      <c r="D172" s="9">
        <v>2796</v>
      </c>
      <c r="E172" s="9">
        <v>8133</v>
      </c>
      <c r="F172" s="9">
        <v>5047</v>
      </c>
      <c r="G172" s="9"/>
      <c r="H172" s="9"/>
      <c r="I172" s="9"/>
      <c r="J172" s="11"/>
      <c r="K172" s="9"/>
      <c r="L172" s="3"/>
    </row>
    <row r="173" spans="1:12">
      <c r="A173" s="9"/>
      <c r="B173" s="3"/>
      <c r="C173" s="3"/>
      <c r="D173" s="3"/>
      <c r="E173" s="3"/>
      <c r="F173" s="3"/>
      <c r="G173" s="3"/>
      <c r="H173" s="3"/>
      <c r="I173" s="9"/>
      <c r="J173" s="9"/>
      <c r="K173" s="9"/>
      <c r="L173" s="3"/>
    </row>
    <row r="174" spans="1:12">
      <c r="A174" s="41" t="s">
        <v>55</v>
      </c>
      <c r="B174" s="37"/>
      <c r="C174" s="37" t="s">
        <v>89</v>
      </c>
      <c r="D174" s="37" t="s">
        <v>89</v>
      </c>
      <c r="E174" s="37" t="s">
        <v>89</v>
      </c>
      <c r="F174" s="37"/>
      <c r="G174" s="37"/>
      <c r="H174" s="37"/>
      <c r="I174" s="38">
        <v>39886</v>
      </c>
      <c r="J174" s="37" t="s">
        <v>90</v>
      </c>
      <c r="K174" s="38">
        <f>SUM(B174:I175)</f>
        <v>119458</v>
      </c>
      <c r="L174" s="3"/>
    </row>
    <row r="175" spans="1:12">
      <c r="A175" s="38"/>
      <c r="B175" s="40"/>
      <c r="C175" s="40">
        <v>57687</v>
      </c>
      <c r="D175" s="40">
        <v>11233</v>
      </c>
      <c r="E175" s="40">
        <v>10652</v>
      </c>
      <c r="F175" s="40"/>
      <c r="G175" s="40"/>
      <c r="H175" s="38"/>
      <c r="I175" s="38"/>
      <c r="J175" s="41"/>
      <c r="K175" s="38"/>
      <c r="L175" s="3"/>
    </row>
    <row r="176" spans="1:12">
      <c r="A176" s="9"/>
      <c r="B176" s="3"/>
      <c r="C176" s="3"/>
      <c r="D176" s="3"/>
      <c r="E176" s="3"/>
      <c r="F176" s="3"/>
      <c r="G176" s="3"/>
      <c r="H176" s="3"/>
      <c r="I176" s="9"/>
      <c r="J176" s="9"/>
      <c r="K176" s="9"/>
      <c r="L176" s="3"/>
    </row>
    <row r="177" spans="1:12">
      <c r="A177" s="11" t="s">
        <v>57</v>
      </c>
      <c r="B177" s="8"/>
      <c r="C177" s="8" t="s">
        <v>100</v>
      </c>
      <c r="D177" s="8" t="s">
        <v>100</v>
      </c>
      <c r="E177" s="8" t="s">
        <v>100</v>
      </c>
      <c r="F177" s="8"/>
      <c r="G177" s="8"/>
      <c r="H177" s="8"/>
      <c r="I177" s="9">
        <v>19056</v>
      </c>
      <c r="J177" s="10" t="s">
        <v>115</v>
      </c>
      <c r="K177" s="9">
        <f>SUM(B177:I178)</f>
        <v>112310</v>
      </c>
      <c r="L177" s="3"/>
    </row>
    <row r="178" spans="1:12">
      <c r="A178" s="9"/>
      <c r="B178" s="10"/>
      <c r="C178" s="10">
        <v>71511</v>
      </c>
      <c r="D178" s="10">
        <v>11607</v>
      </c>
      <c r="E178" s="10">
        <v>10136</v>
      </c>
      <c r="F178" s="10"/>
      <c r="G178" s="10"/>
      <c r="H178" s="9"/>
      <c r="I178" s="9"/>
      <c r="J178" s="11"/>
      <c r="K178" s="9"/>
      <c r="L178" s="3"/>
    </row>
    <row r="179" spans="1:12">
      <c r="A179" s="9"/>
      <c r="B179" s="3"/>
      <c r="C179" s="3"/>
      <c r="D179" s="3"/>
      <c r="E179" s="3"/>
      <c r="F179" s="3"/>
      <c r="G179" s="3"/>
      <c r="H179" s="3"/>
      <c r="I179" s="9"/>
      <c r="J179" s="9"/>
      <c r="K179" s="9"/>
      <c r="L179" s="3"/>
    </row>
    <row r="180" spans="1:12">
      <c r="A180" s="41" t="s">
        <v>60</v>
      </c>
      <c r="B180" s="37"/>
      <c r="C180" s="37" t="s">
        <v>127</v>
      </c>
      <c r="D180" s="37" t="s">
        <v>127</v>
      </c>
      <c r="E180" s="37" t="s">
        <v>127</v>
      </c>
      <c r="F180" s="37"/>
      <c r="G180" s="37"/>
      <c r="H180" s="40"/>
      <c r="I180" s="38">
        <v>38931</v>
      </c>
      <c r="J180" s="37" t="s">
        <v>128</v>
      </c>
      <c r="K180" s="38">
        <f>SUM(B180:I181)</f>
        <v>113389</v>
      </c>
      <c r="L180" s="3"/>
    </row>
    <row r="181" spans="1:12">
      <c r="A181" s="38"/>
      <c r="B181" s="40"/>
      <c r="C181" s="38">
        <v>59417</v>
      </c>
      <c r="D181" s="40">
        <v>8566</v>
      </c>
      <c r="E181" s="40">
        <v>6475</v>
      </c>
      <c r="F181" s="40"/>
      <c r="G181" s="40"/>
      <c r="H181" s="38"/>
      <c r="I181" s="38"/>
      <c r="J181" s="41"/>
      <c r="K181" s="38"/>
      <c r="L181" s="3"/>
    </row>
    <row r="182" spans="1:12">
      <c r="A182" s="9"/>
      <c r="B182" s="3"/>
      <c r="C182" s="3"/>
      <c r="D182" s="3"/>
      <c r="E182" s="3"/>
      <c r="F182" s="3"/>
      <c r="G182" s="3"/>
      <c r="H182" s="3"/>
      <c r="I182" s="9"/>
      <c r="J182" s="9"/>
      <c r="K182" s="9"/>
      <c r="L182" s="3"/>
    </row>
    <row r="183" spans="1:12">
      <c r="A183" s="11" t="s">
        <v>61</v>
      </c>
      <c r="B183" s="8"/>
      <c r="C183" s="8" t="s">
        <v>131</v>
      </c>
      <c r="D183" s="8" t="s">
        <v>131</v>
      </c>
      <c r="E183" s="8" t="s">
        <v>131</v>
      </c>
      <c r="F183" s="8"/>
      <c r="G183" s="8"/>
      <c r="H183" s="10"/>
      <c r="I183" s="9">
        <v>37977</v>
      </c>
      <c r="J183" s="8" t="s">
        <v>132</v>
      </c>
      <c r="K183" s="9">
        <f>SUM(B183:I184)</f>
        <v>137446</v>
      </c>
      <c r="L183" s="3"/>
    </row>
    <row r="184" spans="1:12">
      <c r="A184" s="9"/>
      <c r="B184" s="10"/>
      <c r="C184" s="9">
        <v>71907</v>
      </c>
      <c r="D184" s="10">
        <v>14158</v>
      </c>
      <c r="E184" s="10">
        <v>13404</v>
      </c>
      <c r="F184" s="10"/>
      <c r="G184" s="10"/>
      <c r="H184" s="9"/>
      <c r="I184" s="9"/>
      <c r="J184" s="11"/>
      <c r="K184" s="9"/>
      <c r="L184" s="3"/>
    </row>
    <row r="185" spans="1:12">
      <c r="A185" s="9"/>
      <c r="B185" s="3"/>
      <c r="C185" s="3"/>
      <c r="D185" s="3"/>
      <c r="E185" s="3"/>
      <c r="F185" s="3"/>
      <c r="G185" s="3"/>
      <c r="H185" s="3"/>
      <c r="I185" s="9"/>
      <c r="J185" s="9"/>
      <c r="K185" s="9"/>
      <c r="L185" s="3"/>
    </row>
    <row r="186" spans="1:12">
      <c r="A186" s="41" t="s">
        <v>62</v>
      </c>
      <c r="B186" s="37" t="s">
        <v>501</v>
      </c>
      <c r="C186" s="37" t="s">
        <v>426</v>
      </c>
      <c r="D186" s="37" t="s">
        <v>426</v>
      </c>
      <c r="E186" s="37" t="s">
        <v>502</v>
      </c>
      <c r="F186" s="37" t="s">
        <v>175</v>
      </c>
      <c r="G186" s="37"/>
      <c r="H186" s="40"/>
      <c r="I186" s="38">
        <v>7743</v>
      </c>
      <c r="J186" s="37" t="s">
        <v>503</v>
      </c>
      <c r="K186" s="38">
        <f>SUM(B186:I187)</f>
        <v>134671</v>
      </c>
      <c r="L186" s="3"/>
    </row>
    <row r="187" spans="1:12">
      <c r="A187" s="38"/>
      <c r="B187" s="40">
        <v>45140</v>
      </c>
      <c r="C187" s="40">
        <v>56774</v>
      </c>
      <c r="D187" s="40">
        <v>6909</v>
      </c>
      <c r="E187" s="40">
        <v>15027</v>
      </c>
      <c r="F187" s="40">
        <v>3078</v>
      </c>
      <c r="G187" s="40"/>
      <c r="H187" s="40"/>
      <c r="I187" s="38"/>
      <c r="J187" s="41"/>
      <c r="K187" s="38"/>
      <c r="L187" s="3"/>
    </row>
    <row r="188" spans="1:12">
      <c r="A188" s="9"/>
      <c r="B188" s="26"/>
      <c r="C188" s="27"/>
      <c r="D188" s="27"/>
      <c r="E188" s="27"/>
      <c r="F188" s="27"/>
      <c r="G188" s="27"/>
      <c r="H188" s="9"/>
      <c r="I188" s="9"/>
      <c r="J188" s="9"/>
      <c r="K188" s="9"/>
      <c r="L188" s="3"/>
    </row>
    <row r="189" spans="1:12">
      <c r="A189" s="11" t="s">
        <v>64</v>
      </c>
      <c r="B189" s="8" t="s">
        <v>504</v>
      </c>
      <c r="C189" s="8" t="s">
        <v>111</v>
      </c>
      <c r="D189" s="8" t="s">
        <v>111</v>
      </c>
      <c r="E189" s="8" t="s">
        <v>111</v>
      </c>
      <c r="F189" s="8" t="s">
        <v>504</v>
      </c>
      <c r="G189" s="8"/>
      <c r="H189" s="10"/>
      <c r="I189" s="9">
        <v>11944</v>
      </c>
      <c r="J189" s="8" t="s">
        <v>112</v>
      </c>
      <c r="K189" s="9">
        <f>SUM(B189:I190)</f>
        <v>135936</v>
      </c>
      <c r="L189" s="3"/>
    </row>
    <row r="190" spans="1:12">
      <c r="A190" s="9"/>
      <c r="B190" s="10">
        <v>46990</v>
      </c>
      <c r="C190" s="10">
        <v>60866</v>
      </c>
      <c r="D190" s="10">
        <v>3745</v>
      </c>
      <c r="E190" s="10">
        <v>8492</v>
      </c>
      <c r="F190" s="10">
        <v>3899</v>
      </c>
      <c r="G190" s="10"/>
      <c r="H190" s="10"/>
      <c r="I190" s="9"/>
      <c r="J190" s="9"/>
      <c r="K190" s="9"/>
      <c r="L190" s="3"/>
    </row>
    <row r="191" spans="1:12">
      <c r="A191" s="9"/>
      <c r="B191" s="10"/>
      <c r="C191" s="10"/>
      <c r="D191" s="10"/>
      <c r="E191" s="10"/>
      <c r="F191" s="10"/>
      <c r="G191" s="10"/>
      <c r="H191" s="10"/>
      <c r="I191" s="9"/>
      <c r="J191" s="9"/>
      <c r="K191" s="9"/>
      <c r="L191" s="3"/>
    </row>
    <row r="192" spans="1:12">
      <c r="A192" s="38" t="s">
        <v>91</v>
      </c>
      <c r="B192" s="40" t="s">
        <v>505</v>
      </c>
      <c r="C192" s="40" t="s">
        <v>506</v>
      </c>
      <c r="D192" s="40" t="s">
        <v>506</v>
      </c>
      <c r="E192" s="40" t="s">
        <v>506</v>
      </c>
      <c r="F192" s="40" t="s">
        <v>505</v>
      </c>
      <c r="G192" s="40" t="s">
        <v>514</v>
      </c>
      <c r="H192" s="40"/>
      <c r="I192" s="38">
        <v>6195</v>
      </c>
      <c r="J192" s="40" t="s">
        <v>507</v>
      </c>
      <c r="K192" s="9">
        <f>SUM(B192:I193)</f>
        <v>119189</v>
      </c>
      <c r="L192" s="3"/>
    </row>
    <row r="193" spans="1:12">
      <c r="A193" s="38"/>
      <c r="B193" s="40">
        <v>38133</v>
      </c>
      <c r="C193" s="40">
        <v>57451</v>
      </c>
      <c r="D193" s="40">
        <v>3796</v>
      </c>
      <c r="E193" s="40">
        <v>8112</v>
      </c>
      <c r="F193" s="40">
        <v>4375</v>
      </c>
      <c r="G193" s="40">
        <v>1127</v>
      </c>
      <c r="H193" s="40"/>
      <c r="I193" s="38"/>
      <c r="J193" s="38"/>
      <c r="K193" s="9"/>
      <c r="L193" s="3"/>
    </row>
    <row r="194" spans="1:12">
      <c r="A194" s="9"/>
      <c r="B194" s="10"/>
      <c r="C194" s="10"/>
      <c r="D194" s="10"/>
      <c r="E194" s="10"/>
      <c r="F194" s="10"/>
      <c r="G194" s="10"/>
      <c r="H194" s="10"/>
      <c r="I194" s="9"/>
      <c r="J194" s="9"/>
      <c r="K194" s="9"/>
      <c r="L194" s="3"/>
    </row>
    <row r="195" spans="1:12">
      <c r="A195" s="9" t="s">
        <v>146</v>
      </c>
      <c r="B195" s="10" t="s">
        <v>129</v>
      </c>
      <c r="C195" s="10"/>
      <c r="D195" s="10" t="s">
        <v>129</v>
      </c>
      <c r="E195" s="10"/>
      <c r="F195" s="10" t="s">
        <v>129</v>
      </c>
      <c r="G195" s="10"/>
      <c r="H195" s="10"/>
      <c r="I195" s="9">
        <v>32523</v>
      </c>
      <c r="J195" s="10" t="s">
        <v>130</v>
      </c>
      <c r="K195" s="9">
        <f>SUM(B195:I196)</f>
        <v>114981</v>
      </c>
      <c r="L195" s="3"/>
    </row>
    <row r="196" spans="1:12">
      <c r="A196" s="9"/>
      <c r="B196" s="10">
        <v>71662</v>
      </c>
      <c r="C196" s="10"/>
      <c r="D196" s="10">
        <v>4435</v>
      </c>
      <c r="E196" s="10"/>
      <c r="F196" s="10">
        <v>6361</v>
      </c>
      <c r="G196" s="10"/>
      <c r="H196" s="10"/>
      <c r="I196" s="9"/>
      <c r="J196" s="9"/>
      <c r="K196" s="9"/>
      <c r="L196" s="3"/>
    </row>
    <row r="197" spans="1:1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9"/>
      <c r="L197" s="3"/>
    </row>
    <row r="198" spans="1:12">
      <c r="A198" s="11" t="s">
        <v>66</v>
      </c>
      <c r="B198" s="3"/>
      <c r="C198" s="3"/>
      <c r="D198" s="3"/>
      <c r="E198" s="3"/>
      <c r="F198" s="3"/>
      <c r="G198" s="3"/>
      <c r="H198" s="3"/>
      <c r="I198" s="3"/>
      <c r="J198" s="3"/>
      <c r="K198" s="9"/>
      <c r="L198" s="3"/>
    </row>
    <row r="199" spans="1:12">
      <c r="A199" s="17" t="s">
        <v>508</v>
      </c>
      <c r="B199" s="15"/>
      <c r="C199" s="15"/>
      <c r="D199" s="3"/>
      <c r="E199" s="3"/>
      <c r="F199" s="3"/>
      <c r="G199" s="3"/>
      <c r="H199" s="3"/>
      <c r="I199" s="3"/>
      <c r="J199" s="3"/>
      <c r="K199" s="9"/>
      <c r="L199" s="3"/>
    </row>
    <row r="200" spans="1:12">
      <c r="A200" s="17" t="s">
        <v>509</v>
      </c>
      <c r="B200" s="15"/>
      <c r="C200" s="15"/>
      <c r="D200" s="3"/>
      <c r="E200" s="3"/>
      <c r="F200" s="3"/>
      <c r="G200" s="3"/>
      <c r="H200" s="3"/>
      <c r="I200" s="3"/>
      <c r="J200" s="3"/>
      <c r="K200" s="9"/>
      <c r="L200" s="3"/>
    </row>
    <row r="201" spans="1:12">
      <c r="A201" s="17" t="s">
        <v>134</v>
      </c>
      <c r="B201" s="15"/>
      <c r="C201" s="15"/>
      <c r="D201" s="15"/>
      <c r="E201" s="3"/>
      <c r="F201" s="3"/>
      <c r="G201" s="3"/>
      <c r="H201" s="3"/>
      <c r="I201" s="3"/>
      <c r="J201" s="3"/>
      <c r="K201" s="9"/>
      <c r="L201" s="3"/>
    </row>
    <row r="202" spans="1:12">
      <c r="A202" s="9"/>
      <c r="B202" s="3"/>
      <c r="C202" s="3"/>
      <c r="D202" s="3"/>
      <c r="E202" s="3"/>
      <c r="F202" s="3"/>
      <c r="G202" s="3"/>
      <c r="H202" s="3"/>
      <c r="I202" s="3"/>
      <c r="J202" s="3"/>
      <c r="K202" s="9"/>
      <c r="L202" s="3"/>
    </row>
    <row r="203" spans="1:12">
      <c r="A203" s="72" t="s">
        <v>510</v>
      </c>
      <c r="B203" s="3"/>
      <c r="C203" s="3"/>
      <c r="D203" s="3"/>
      <c r="E203" s="3"/>
      <c r="F203" s="3"/>
      <c r="G203" s="3"/>
      <c r="H203" s="3"/>
      <c r="I203" s="3"/>
      <c r="J203" s="3"/>
      <c r="K203" s="9"/>
      <c r="L203" s="3"/>
    </row>
    <row r="204" spans="1:12">
      <c r="A204" s="46"/>
      <c r="B204" s="2"/>
      <c r="C204" s="2"/>
      <c r="D204" s="2"/>
      <c r="E204" s="2"/>
      <c r="F204" s="2"/>
      <c r="G204" s="2"/>
      <c r="H204" s="2"/>
      <c r="I204" s="2"/>
      <c r="J204" s="2"/>
      <c r="K204" s="46"/>
      <c r="L204" s="2"/>
    </row>
    <row r="205" spans="1:12">
      <c r="A205" s="46"/>
      <c r="B205" s="2"/>
      <c r="C205" s="2"/>
      <c r="D205" s="2"/>
      <c r="E205" s="2"/>
      <c r="F205" s="2"/>
      <c r="G205" s="2"/>
      <c r="H205" s="2"/>
      <c r="I205" s="2"/>
      <c r="J205" s="2"/>
      <c r="K205" s="46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46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46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46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46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46"/>
      <c r="L210" s="2"/>
    </row>
    <row r="211" spans="1:1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49"/>
      <c r="L211" s="1"/>
    </row>
    <row r="212" spans="1: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49"/>
      <c r="L212" s="1"/>
    </row>
  </sheetData>
  <hyperlinks>
    <hyperlink ref="A203" r:id="rId1"/>
  </hyperlinks>
  <pageMargins left="0.7" right="0.7" top="0.75" bottom="0.75" header="0.3" footer="0.3"/>
  <pageSetup scale="62" fitToHeight="4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3"/>
  <sheetViews>
    <sheetView workbookViewId="0">
      <selection activeCell="A3" sqref="A3"/>
    </sheetView>
  </sheetViews>
  <sheetFormatPr defaultColWidth="15.77734375" defaultRowHeight="15.75"/>
  <cols>
    <col min="1" max="1" width="17.77734375" customWidth="1"/>
    <col min="10" max="10" width="25.77734375" customWidth="1"/>
  </cols>
  <sheetData>
    <row r="1" spans="1:13" ht="20.25">
      <c r="A1" s="29" t="s">
        <v>0</v>
      </c>
      <c r="B1" s="5"/>
      <c r="C1" s="5"/>
      <c r="D1" s="5"/>
      <c r="E1" s="5"/>
      <c r="F1" s="5"/>
      <c r="G1" s="5"/>
      <c r="H1" s="4"/>
      <c r="I1" s="3"/>
      <c r="J1" s="3"/>
      <c r="K1" s="3"/>
      <c r="L1" s="3"/>
      <c r="M1" s="3"/>
    </row>
    <row r="2" spans="1:13" ht="20.25">
      <c r="A2" s="30" t="s">
        <v>1286</v>
      </c>
      <c r="B2" s="5"/>
      <c r="C2" s="5"/>
      <c r="D2" s="3"/>
      <c r="E2" s="3"/>
      <c r="F2" s="3"/>
      <c r="G2" s="3"/>
      <c r="H2" s="4"/>
      <c r="I2" s="3"/>
      <c r="J2" s="3"/>
      <c r="K2" s="3"/>
      <c r="L2" s="3"/>
      <c r="M2" s="3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9.25">
      <c r="A4" s="31" t="s">
        <v>1</v>
      </c>
      <c r="B4" s="32" t="s">
        <v>73</v>
      </c>
      <c r="C4" s="33" t="s">
        <v>2</v>
      </c>
      <c r="D4" s="33" t="s">
        <v>80</v>
      </c>
      <c r="E4" s="33" t="s">
        <v>101</v>
      </c>
      <c r="F4" s="34" t="s">
        <v>196</v>
      </c>
      <c r="G4" s="33" t="s">
        <v>200</v>
      </c>
      <c r="H4" s="33" t="s">
        <v>195</v>
      </c>
      <c r="I4" s="35" t="s">
        <v>197</v>
      </c>
      <c r="J4" s="33" t="s">
        <v>3</v>
      </c>
      <c r="K4" s="3"/>
      <c r="L4" s="3"/>
      <c r="M4" s="3"/>
    </row>
    <row r="5" spans="1:13">
      <c r="A5" s="3"/>
      <c r="B5" s="6"/>
      <c r="C5" s="6"/>
      <c r="D5" s="6"/>
      <c r="E5" s="6"/>
      <c r="F5" s="6"/>
      <c r="G5" s="6"/>
      <c r="H5" s="6"/>
      <c r="I5" s="6"/>
      <c r="J5" s="3"/>
      <c r="K5" s="3"/>
      <c r="L5" s="3"/>
      <c r="M5" s="3"/>
    </row>
    <row r="6" spans="1:13">
      <c r="A6" s="7" t="s">
        <v>4</v>
      </c>
      <c r="B6" s="8" t="s">
        <v>515</v>
      </c>
      <c r="C6" s="8" t="s">
        <v>113</v>
      </c>
      <c r="D6" s="8" t="s">
        <v>113</v>
      </c>
      <c r="E6" s="8" t="s">
        <v>74</v>
      </c>
      <c r="F6" s="8" t="s">
        <v>515</v>
      </c>
      <c r="G6" s="8"/>
      <c r="H6" s="8" t="s">
        <v>516</v>
      </c>
      <c r="I6" s="9">
        <v>5227</v>
      </c>
      <c r="J6" s="8" t="s">
        <v>114</v>
      </c>
      <c r="K6" s="9">
        <f>SUM(B6:I7)</f>
        <v>103932</v>
      </c>
      <c r="L6" s="3"/>
      <c r="M6" s="3"/>
    </row>
    <row r="7" spans="1:13">
      <c r="A7" s="3"/>
      <c r="B7" s="10">
        <v>30089</v>
      </c>
      <c r="C7" s="10">
        <v>50275</v>
      </c>
      <c r="D7" s="10">
        <v>4955</v>
      </c>
      <c r="E7" s="10">
        <v>9486</v>
      </c>
      <c r="F7" s="10">
        <v>3005</v>
      </c>
      <c r="G7" s="10"/>
      <c r="H7" s="10">
        <v>895</v>
      </c>
      <c r="I7" s="9"/>
      <c r="J7" s="11"/>
      <c r="K7" s="3"/>
      <c r="L7" s="3"/>
      <c r="M7" s="3"/>
    </row>
    <row r="8" spans="1:13">
      <c r="A8" s="3"/>
      <c r="B8" s="9"/>
      <c r="C8" s="9"/>
      <c r="D8" s="9"/>
      <c r="E8" s="9"/>
      <c r="F8" s="9"/>
      <c r="G8" s="9"/>
      <c r="H8" s="9"/>
      <c r="I8" s="9"/>
      <c r="J8" s="9"/>
      <c r="K8" s="3"/>
      <c r="L8" s="3"/>
      <c r="M8" s="3"/>
    </row>
    <row r="9" spans="1:13">
      <c r="A9" s="36" t="s">
        <v>6</v>
      </c>
      <c r="B9" s="37" t="s">
        <v>517</v>
      </c>
      <c r="C9" s="37" t="s">
        <v>81</v>
      </c>
      <c r="D9" s="37" t="s">
        <v>81</v>
      </c>
      <c r="E9" s="37" t="s">
        <v>81</v>
      </c>
      <c r="F9" s="37" t="s">
        <v>517</v>
      </c>
      <c r="G9" s="37"/>
      <c r="H9" s="37"/>
      <c r="I9" s="38">
        <v>4866</v>
      </c>
      <c r="J9" s="37" t="s">
        <v>82</v>
      </c>
      <c r="K9" s="9">
        <f>SUM(B9:I10)</f>
        <v>93458</v>
      </c>
      <c r="L9" s="3"/>
      <c r="M9" s="3"/>
    </row>
    <row r="10" spans="1:13">
      <c r="A10" s="39"/>
      <c r="B10" s="40">
        <v>25009</v>
      </c>
      <c r="C10" s="40">
        <v>49006</v>
      </c>
      <c r="D10" s="40">
        <v>3606</v>
      </c>
      <c r="E10" s="40">
        <v>9230</v>
      </c>
      <c r="F10" s="40">
        <v>1741</v>
      </c>
      <c r="G10" s="40"/>
      <c r="H10" s="40"/>
      <c r="I10" s="38"/>
      <c r="J10" s="41"/>
      <c r="K10" s="3"/>
      <c r="L10" s="3"/>
      <c r="M10" s="3"/>
    </row>
    <row r="11" spans="1:13">
      <c r="A11" s="3"/>
      <c r="B11" s="9"/>
      <c r="C11" s="9"/>
      <c r="D11" s="9"/>
      <c r="E11" s="9"/>
      <c r="F11" s="9"/>
      <c r="G11" s="9"/>
      <c r="H11" s="9"/>
      <c r="I11" s="9"/>
      <c r="J11" s="9"/>
      <c r="K11" s="3"/>
      <c r="L11" s="3"/>
      <c r="M11" s="3"/>
    </row>
    <row r="12" spans="1:13">
      <c r="A12" s="7" t="s">
        <v>7</v>
      </c>
      <c r="B12" s="8" t="s">
        <v>518</v>
      </c>
      <c r="C12" s="8" t="s">
        <v>448</v>
      </c>
      <c r="D12" s="8" t="s">
        <v>448</v>
      </c>
      <c r="E12" s="8" t="s">
        <v>448</v>
      </c>
      <c r="F12" s="8" t="s">
        <v>518</v>
      </c>
      <c r="G12" s="8"/>
      <c r="H12" s="8"/>
      <c r="I12" s="9">
        <v>3372</v>
      </c>
      <c r="J12" s="8" t="s">
        <v>449</v>
      </c>
      <c r="K12" s="9">
        <f>SUM(B12:I13)</f>
        <v>75311</v>
      </c>
      <c r="L12" s="3"/>
      <c r="M12" s="3"/>
    </row>
    <row r="13" spans="1:13">
      <c r="A13" s="3"/>
      <c r="B13" s="10">
        <v>28028</v>
      </c>
      <c r="C13" s="10">
        <v>31739</v>
      </c>
      <c r="D13" s="10">
        <v>2417</v>
      </c>
      <c r="E13" s="10">
        <v>6907</v>
      </c>
      <c r="F13" s="10">
        <v>2848</v>
      </c>
      <c r="G13" s="10"/>
      <c r="H13" s="10"/>
      <c r="I13" s="9"/>
      <c r="J13" s="11"/>
      <c r="K13" s="3"/>
      <c r="L13" s="3"/>
      <c r="M13" s="3"/>
    </row>
    <row r="14" spans="1:13">
      <c r="A14" s="3"/>
      <c r="B14" s="9"/>
      <c r="C14" s="9"/>
      <c r="D14" s="9"/>
      <c r="E14" s="9"/>
      <c r="F14" s="9"/>
      <c r="G14" s="9"/>
      <c r="H14" s="9"/>
      <c r="I14" s="9"/>
      <c r="J14" s="9"/>
      <c r="K14" s="3"/>
      <c r="L14" s="3"/>
      <c r="M14" s="3"/>
    </row>
    <row r="15" spans="1:13">
      <c r="A15" s="36" t="s">
        <v>9</v>
      </c>
      <c r="B15" s="37" t="s">
        <v>519</v>
      </c>
      <c r="C15" s="37" t="s">
        <v>520</v>
      </c>
      <c r="D15" s="37" t="s">
        <v>482</v>
      </c>
      <c r="E15" s="37" t="s">
        <v>482</v>
      </c>
      <c r="F15" s="37"/>
      <c r="G15" s="37"/>
      <c r="H15" s="37"/>
      <c r="I15" s="38">
        <v>5341</v>
      </c>
      <c r="J15" s="37" t="s">
        <v>521</v>
      </c>
      <c r="K15" s="9">
        <f>SUM(B15:I16)</f>
        <v>71337</v>
      </c>
      <c r="L15" s="3"/>
      <c r="M15" s="3"/>
    </row>
    <row r="16" spans="1:13">
      <c r="A16" s="39"/>
      <c r="B16" s="40">
        <v>22197</v>
      </c>
      <c r="C16" s="40">
        <v>34172</v>
      </c>
      <c r="D16" s="40">
        <v>3329</v>
      </c>
      <c r="E16" s="40">
        <v>6298</v>
      </c>
      <c r="F16" s="40"/>
      <c r="G16" s="40"/>
      <c r="H16" s="40"/>
      <c r="I16" s="38"/>
      <c r="J16" s="41"/>
      <c r="K16" s="3"/>
      <c r="L16" s="3"/>
      <c r="M16" s="3"/>
    </row>
    <row r="17" spans="1:13">
      <c r="A17" s="3"/>
      <c r="B17" s="9"/>
      <c r="C17" s="9"/>
      <c r="D17" s="9"/>
      <c r="E17" s="9"/>
      <c r="F17" s="9"/>
      <c r="G17" s="9"/>
      <c r="H17" s="9"/>
      <c r="I17" s="9"/>
      <c r="J17" s="9"/>
      <c r="K17" s="3"/>
      <c r="L17" s="3"/>
      <c r="M17" s="3"/>
    </row>
    <row r="18" spans="1:13">
      <c r="A18" s="7" t="s">
        <v>11</v>
      </c>
      <c r="B18" s="10" t="s">
        <v>522</v>
      </c>
      <c r="C18" s="10" t="s">
        <v>12</v>
      </c>
      <c r="D18" s="10" t="s">
        <v>12</v>
      </c>
      <c r="E18" s="10" t="s">
        <v>75</v>
      </c>
      <c r="F18" s="10" t="s">
        <v>522</v>
      </c>
      <c r="G18" s="10"/>
      <c r="H18" s="10" t="s">
        <v>452</v>
      </c>
      <c r="I18" s="10">
        <v>4398</v>
      </c>
      <c r="J18" s="10" t="s">
        <v>13</v>
      </c>
      <c r="K18" s="9">
        <f>SUM(B18:I19)</f>
        <v>97798</v>
      </c>
      <c r="L18" s="3"/>
      <c r="M18" s="3"/>
    </row>
    <row r="19" spans="1:13">
      <c r="A19" s="3"/>
      <c r="B19" s="10">
        <v>33127</v>
      </c>
      <c r="C19" s="10">
        <v>47675</v>
      </c>
      <c r="D19" s="10">
        <v>3050</v>
      </c>
      <c r="E19" s="10">
        <v>7131</v>
      </c>
      <c r="F19" s="10">
        <v>2209</v>
      </c>
      <c r="G19" s="10"/>
      <c r="H19" s="9">
        <v>208</v>
      </c>
      <c r="I19" s="9"/>
      <c r="J19" s="9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9"/>
      <c r="J20" s="9"/>
      <c r="K20" s="3"/>
      <c r="L20" s="3"/>
      <c r="M20" s="3"/>
    </row>
    <row r="21" spans="1:13">
      <c r="A21" s="36" t="s">
        <v>15</v>
      </c>
      <c r="B21" s="40" t="s">
        <v>523</v>
      </c>
      <c r="C21" s="40" t="s">
        <v>16</v>
      </c>
      <c r="D21" s="40" t="s">
        <v>16</v>
      </c>
      <c r="E21" s="40" t="s">
        <v>76</v>
      </c>
      <c r="F21" s="40" t="s">
        <v>524</v>
      </c>
      <c r="G21" s="40"/>
      <c r="H21" s="40" t="s">
        <v>294</v>
      </c>
      <c r="I21" s="40">
        <v>3794</v>
      </c>
      <c r="J21" s="40" t="s">
        <v>293</v>
      </c>
      <c r="K21" s="9">
        <f>SUM(B21:I22)</f>
        <v>82105</v>
      </c>
      <c r="L21" s="3"/>
      <c r="M21" s="3"/>
    </row>
    <row r="22" spans="1:13">
      <c r="A22" s="39"/>
      <c r="B22" s="40">
        <v>30328</v>
      </c>
      <c r="C22" s="40">
        <v>38477</v>
      </c>
      <c r="D22" s="40">
        <v>2110</v>
      </c>
      <c r="E22" s="40">
        <v>5196</v>
      </c>
      <c r="F22" s="40">
        <v>2013</v>
      </c>
      <c r="G22" s="40"/>
      <c r="H22" s="40">
        <v>187</v>
      </c>
      <c r="I22" s="38"/>
      <c r="J22" s="38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9"/>
      <c r="I23" s="9"/>
      <c r="J23" s="9"/>
      <c r="K23" s="3"/>
      <c r="L23" s="3"/>
      <c r="M23" s="3"/>
    </row>
    <row r="24" spans="1:13">
      <c r="A24" s="12" t="s">
        <v>18</v>
      </c>
      <c r="B24" s="13" t="s">
        <v>482</v>
      </c>
      <c r="C24" s="13" t="s">
        <v>372</v>
      </c>
      <c r="D24" s="13" t="s">
        <v>372</v>
      </c>
      <c r="E24" s="13" t="s">
        <v>372</v>
      </c>
      <c r="F24" s="13"/>
      <c r="G24" s="13"/>
      <c r="H24" s="14"/>
      <c r="I24" s="14">
        <v>4154</v>
      </c>
      <c r="J24" s="13" t="s">
        <v>373</v>
      </c>
      <c r="K24" s="9">
        <f>SUM(B24:I25)</f>
        <v>89559</v>
      </c>
      <c r="L24" s="3"/>
      <c r="M24" s="3"/>
    </row>
    <row r="25" spans="1:13">
      <c r="A25" s="15"/>
      <c r="B25" s="14">
        <v>42477</v>
      </c>
      <c r="C25" s="14">
        <v>36349</v>
      </c>
      <c r="D25" s="14">
        <v>1959</v>
      </c>
      <c r="E25" s="14">
        <v>4620</v>
      </c>
      <c r="F25" s="14"/>
      <c r="G25" s="14"/>
      <c r="H25" s="14"/>
      <c r="I25" s="14"/>
      <c r="J25" s="16"/>
      <c r="K25" s="3"/>
      <c r="L25" s="3"/>
      <c r="M25" s="3"/>
    </row>
    <row r="26" spans="1:13">
      <c r="A26" s="15"/>
      <c r="B26" s="15"/>
      <c r="C26" s="15"/>
      <c r="D26" s="15"/>
      <c r="E26" s="15"/>
      <c r="F26" s="15"/>
      <c r="G26" s="15"/>
      <c r="H26" s="15"/>
      <c r="I26" s="17"/>
      <c r="J26" s="17"/>
      <c r="K26" s="3"/>
      <c r="L26" s="3"/>
      <c r="M26" s="3"/>
    </row>
    <row r="27" spans="1:13">
      <c r="A27" s="36" t="s">
        <v>21</v>
      </c>
      <c r="B27" s="37" t="s">
        <v>454</v>
      </c>
      <c r="C27" s="37" t="s">
        <v>455</v>
      </c>
      <c r="D27" s="37" t="s">
        <v>455</v>
      </c>
      <c r="E27" s="37" t="s">
        <v>455</v>
      </c>
      <c r="F27" s="37" t="s">
        <v>454</v>
      </c>
      <c r="G27" s="37"/>
      <c r="H27" s="37" t="s">
        <v>456</v>
      </c>
      <c r="I27" s="40">
        <v>3708</v>
      </c>
      <c r="J27" s="37" t="s">
        <v>457</v>
      </c>
      <c r="K27" s="9">
        <f>SUM(B27:I28)</f>
        <v>86531</v>
      </c>
      <c r="L27" s="3"/>
      <c r="M27" s="3"/>
    </row>
    <row r="28" spans="1:13">
      <c r="A28" s="39"/>
      <c r="B28" s="40">
        <v>27760</v>
      </c>
      <c r="C28" s="40">
        <v>44350</v>
      </c>
      <c r="D28" s="40">
        <v>3026</v>
      </c>
      <c r="E28" s="40">
        <v>5802</v>
      </c>
      <c r="F28" s="40">
        <v>1624</v>
      </c>
      <c r="G28" s="40"/>
      <c r="H28" s="40">
        <v>261</v>
      </c>
      <c r="I28" s="38"/>
      <c r="J28" s="41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9"/>
      <c r="I29" s="9"/>
      <c r="J29" s="9"/>
      <c r="K29" s="3"/>
      <c r="L29" s="3"/>
      <c r="M29" s="3"/>
    </row>
    <row r="30" spans="1:13">
      <c r="A30" s="7" t="s">
        <v>23</v>
      </c>
      <c r="B30" s="8" t="s">
        <v>525</v>
      </c>
      <c r="C30" s="8" t="s">
        <v>378</v>
      </c>
      <c r="D30" s="8" t="s">
        <v>379</v>
      </c>
      <c r="E30" s="8" t="s">
        <v>379</v>
      </c>
      <c r="F30" s="8" t="s">
        <v>525</v>
      </c>
      <c r="G30" s="8"/>
      <c r="H30" s="8" t="s">
        <v>380</v>
      </c>
      <c r="I30" s="10">
        <v>3484</v>
      </c>
      <c r="J30" s="8" t="s">
        <v>381</v>
      </c>
      <c r="K30" s="9">
        <f>SUM(B30:I31)</f>
        <v>93540</v>
      </c>
      <c r="L30" s="3"/>
      <c r="M30" s="3"/>
    </row>
    <row r="31" spans="1:13">
      <c r="A31" s="3"/>
      <c r="B31" s="10">
        <v>28871</v>
      </c>
      <c r="C31" s="10">
        <v>51138</v>
      </c>
      <c r="D31" s="10">
        <v>2699</v>
      </c>
      <c r="E31" s="10">
        <v>5190</v>
      </c>
      <c r="F31" s="10">
        <v>1933</v>
      </c>
      <c r="G31" s="10"/>
      <c r="H31" s="10">
        <v>225</v>
      </c>
      <c r="I31" s="9"/>
      <c r="J31" s="11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9"/>
      <c r="K32" s="3"/>
      <c r="L32" s="3"/>
      <c r="M32" s="3"/>
    </row>
    <row r="33" spans="1:13">
      <c r="A33" s="36" t="s">
        <v>24</v>
      </c>
      <c r="B33" s="37" t="s">
        <v>526</v>
      </c>
      <c r="C33" s="42"/>
      <c r="D33" s="37"/>
      <c r="E33" s="37"/>
      <c r="F33" s="37" t="s">
        <v>526</v>
      </c>
      <c r="G33" s="37"/>
      <c r="H33" s="37"/>
      <c r="I33" s="40">
        <v>10421</v>
      </c>
      <c r="J33" s="37" t="s">
        <v>527</v>
      </c>
      <c r="K33" s="9">
        <f>SUM(B33:I34)</f>
        <v>57607</v>
      </c>
      <c r="L33" s="3"/>
      <c r="M33" s="3"/>
    </row>
    <row r="34" spans="1:13">
      <c r="A34" s="39"/>
      <c r="B34" s="40">
        <v>45119</v>
      </c>
      <c r="C34" s="38"/>
      <c r="D34" s="40"/>
      <c r="E34" s="40"/>
      <c r="F34" s="40">
        <v>2067</v>
      </c>
      <c r="G34" s="40"/>
      <c r="H34" s="40"/>
      <c r="I34" s="38"/>
      <c r="J34" s="41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9"/>
      <c r="J35" s="9"/>
      <c r="K35" s="3"/>
      <c r="L35" s="3"/>
      <c r="M35" s="3"/>
    </row>
    <row r="36" spans="1:13">
      <c r="A36" s="3" t="s">
        <v>26</v>
      </c>
      <c r="B36" s="10" t="s">
        <v>116</v>
      </c>
      <c r="C36" s="10" t="s">
        <v>528</v>
      </c>
      <c r="D36" s="10" t="s">
        <v>528</v>
      </c>
      <c r="E36" s="10" t="s">
        <v>528</v>
      </c>
      <c r="F36" s="10" t="s">
        <v>116</v>
      </c>
      <c r="G36" s="10"/>
      <c r="H36" s="10"/>
      <c r="I36" s="9">
        <v>3177</v>
      </c>
      <c r="J36" s="8" t="s">
        <v>302</v>
      </c>
      <c r="K36" s="9">
        <f>SUM(B36:I37)</f>
        <v>61321</v>
      </c>
      <c r="L36" s="3"/>
      <c r="M36" s="3"/>
    </row>
    <row r="37" spans="1:13">
      <c r="A37" s="7"/>
      <c r="B37" s="11">
        <v>29323</v>
      </c>
      <c r="C37" s="10">
        <v>22493</v>
      </c>
      <c r="D37" s="10">
        <v>1582</v>
      </c>
      <c r="E37" s="10">
        <v>2496</v>
      </c>
      <c r="F37" s="10">
        <v>2250</v>
      </c>
      <c r="G37" s="10"/>
      <c r="H37" s="11"/>
      <c r="I37" s="9"/>
      <c r="J37" s="11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9"/>
      <c r="J38" s="9"/>
      <c r="K38" s="3"/>
      <c r="L38" s="3"/>
      <c r="M38" s="3"/>
    </row>
    <row r="39" spans="1:13">
      <c r="A39" s="39" t="s">
        <v>28</v>
      </c>
      <c r="B39" s="40" t="s">
        <v>117</v>
      </c>
      <c r="C39" s="40" t="s">
        <v>529</v>
      </c>
      <c r="D39" s="40"/>
      <c r="E39" s="40" t="s">
        <v>529</v>
      </c>
      <c r="F39" s="40" t="s">
        <v>117</v>
      </c>
      <c r="G39" s="40"/>
      <c r="H39" s="40"/>
      <c r="I39" s="38">
        <v>5294</v>
      </c>
      <c r="J39" s="37" t="s">
        <v>118</v>
      </c>
      <c r="K39" s="9">
        <f>SUM(B39:I40)</f>
        <v>44351</v>
      </c>
      <c r="L39" s="3"/>
      <c r="M39" s="3"/>
    </row>
    <row r="40" spans="1:13">
      <c r="A40" s="36"/>
      <c r="B40" s="40">
        <v>28639</v>
      </c>
      <c r="C40" s="38">
        <v>6378</v>
      </c>
      <c r="D40" s="40"/>
      <c r="E40" s="40">
        <v>942</v>
      </c>
      <c r="F40" s="40">
        <v>3098</v>
      </c>
      <c r="G40" s="40"/>
      <c r="H40" s="40"/>
      <c r="I40" s="38"/>
      <c r="J40" s="41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9"/>
      <c r="K41" s="3"/>
      <c r="L41" s="3"/>
      <c r="M41" s="3"/>
    </row>
    <row r="42" spans="1:13">
      <c r="A42" s="3" t="s">
        <v>29</v>
      </c>
      <c r="B42" s="10" t="s">
        <v>119</v>
      </c>
      <c r="C42" s="10" t="s">
        <v>530</v>
      </c>
      <c r="D42" s="10" t="s">
        <v>530</v>
      </c>
      <c r="E42" s="10" t="s">
        <v>530</v>
      </c>
      <c r="F42" s="10" t="s">
        <v>119</v>
      </c>
      <c r="G42" s="10"/>
      <c r="H42" s="10"/>
      <c r="I42" s="9">
        <v>3880</v>
      </c>
      <c r="J42" s="8" t="s">
        <v>305</v>
      </c>
      <c r="K42" s="9">
        <f>SUM(B42:I43)</f>
        <v>32821</v>
      </c>
      <c r="L42" s="3"/>
      <c r="M42" s="3"/>
    </row>
    <row r="43" spans="1:13">
      <c r="A43" s="7"/>
      <c r="B43" s="10">
        <v>22042</v>
      </c>
      <c r="C43" s="9">
        <v>4167</v>
      </c>
      <c r="D43" s="10">
        <v>375</v>
      </c>
      <c r="E43" s="10">
        <v>437</v>
      </c>
      <c r="F43" s="10">
        <v>1920</v>
      </c>
      <c r="G43" s="10"/>
      <c r="H43" s="10"/>
      <c r="I43" s="9"/>
      <c r="J43" s="11"/>
      <c r="K43" s="3"/>
      <c r="L43" s="3"/>
      <c r="M43" s="3"/>
    </row>
    <row r="44" spans="1:13">
      <c r="A44" s="7"/>
      <c r="B44" s="3"/>
      <c r="C44" s="3"/>
      <c r="D44" s="3"/>
      <c r="E44" s="3"/>
      <c r="F44" s="3"/>
      <c r="G44" s="3"/>
      <c r="H44" s="3"/>
      <c r="I44" s="9"/>
      <c r="J44" s="11"/>
      <c r="K44" s="3"/>
      <c r="L44" s="3"/>
      <c r="M44" s="3"/>
    </row>
    <row r="45" spans="1:13">
      <c r="A45" s="39" t="s">
        <v>32</v>
      </c>
      <c r="B45" s="37" t="s">
        <v>462</v>
      </c>
      <c r="C45" s="37" t="s">
        <v>531</v>
      </c>
      <c r="D45" s="37" t="s">
        <v>462</v>
      </c>
      <c r="E45" s="37" t="s">
        <v>432</v>
      </c>
      <c r="F45" s="37" t="s">
        <v>462</v>
      </c>
      <c r="G45" s="37"/>
      <c r="H45" s="37"/>
      <c r="I45" s="38">
        <v>6052</v>
      </c>
      <c r="J45" s="40" t="s">
        <v>463</v>
      </c>
      <c r="K45" s="9">
        <f>SUM(B45:I46)</f>
        <v>59239</v>
      </c>
      <c r="L45" s="3"/>
      <c r="M45" s="3"/>
    </row>
    <row r="46" spans="1:13">
      <c r="A46" s="39"/>
      <c r="B46" s="40">
        <v>40737</v>
      </c>
      <c r="C46" s="38">
        <v>7798</v>
      </c>
      <c r="D46" s="40">
        <v>704</v>
      </c>
      <c r="E46" s="40">
        <v>2033</v>
      </c>
      <c r="F46" s="40">
        <v>1915</v>
      </c>
      <c r="G46" s="40"/>
      <c r="H46" s="38"/>
      <c r="I46" s="38"/>
      <c r="J46" s="41"/>
      <c r="K46" s="3"/>
      <c r="L46" s="3"/>
      <c r="M46" s="3"/>
    </row>
    <row r="47" spans="1:13">
      <c r="A47" s="7"/>
      <c r="B47" s="3"/>
      <c r="C47" s="3"/>
      <c r="D47" s="3"/>
      <c r="E47" s="3"/>
      <c r="F47" s="3"/>
      <c r="G47" s="3"/>
      <c r="H47" s="3"/>
      <c r="I47" s="9"/>
      <c r="J47" s="11"/>
      <c r="K47" s="3"/>
      <c r="L47" s="3"/>
      <c r="M47" s="3"/>
    </row>
    <row r="48" spans="1:13">
      <c r="A48" s="3" t="s">
        <v>33</v>
      </c>
      <c r="B48" s="8" t="s">
        <v>107</v>
      </c>
      <c r="C48" s="8" t="s">
        <v>532</v>
      </c>
      <c r="D48" s="8" t="s">
        <v>107</v>
      </c>
      <c r="E48" s="8" t="s">
        <v>532</v>
      </c>
      <c r="F48" s="8"/>
      <c r="G48" s="8"/>
      <c r="H48" s="10"/>
      <c r="I48" s="9">
        <v>3481</v>
      </c>
      <c r="J48" s="10" t="s">
        <v>108</v>
      </c>
      <c r="K48" s="9">
        <f>SUM(B48:I49)</f>
        <v>44347</v>
      </c>
      <c r="L48" s="3"/>
      <c r="M48" s="3"/>
    </row>
    <row r="49" spans="1:13">
      <c r="A49" s="3"/>
      <c r="B49" s="9">
        <v>22084</v>
      </c>
      <c r="C49" s="9">
        <v>15181</v>
      </c>
      <c r="D49" s="10">
        <v>1188</v>
      </c>
      <c r="E49" s="10">
        <v>2413</v>
      </c>
      <c r="F49" s="10"/>
      <c r="G49" s="10"/>
      <c r="H49" s="10"/>
      <c r="I49" s="9"/>
      <c r="J49" s="11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11"/>
      <c r="K50" s="3"/>
      <c r="L50" s="3"/>
      <c r="M50" s="3"/>
    </row>
    <row r="51" spans="1:13">
      <c r="A51" s="36" t="s">
        <v>35</v>
      </c>
      <c r="B51" s="37" t="s">
        <v>36</v>
      </c>
      <c r="C51" s="51"/>
      <c r="D51" s="37" t="s">
        <v>120</v>
      </c>
      <c r="E51" s="37" t="s">
        <v>533</v>
      </c>
      <c r="F51" s="37" t="s">
        <v>120</v>
      </c>
      <c r="G51" s="37"/>
      <c r="H51" s="37"/>
      <c r="I51" s="38">
        <v>12222</v>
      </c>
      <c r="J51" s="37" t="s">
        <v>77</v>
      </c>
      <c r="K51" s="9">
        <f>SUM(B51:I52)</f>
        <v>51864</v>
      </c>
      <c r="L51" s="3"/>
      <c r="M51" s="3"/>
    </row>
    <row r="52" spans="1:13">
      <c r="A52" s="39"/>
      <c r="B52" s="40">
        <v>31061</v>
      </c>
      <c r="C52" s="52"/>
      <c r="D52" s="38">
        <v>1797</v>
      </c>
      <c r="E52" s="38">
        <v>5171</v>
      </c>
      <c r="F52" s="38">
        <v>1613</v>
      </c>
      <c r="G52" s="38"/>
      <c r="H52" s="40"/>
      <c r="I52" s="38"/>
      <c r="J52" s="38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9"/>
      <c r="J53" s="11"/>
      <c r="K53" s="3"/>
      <c r="L53" s="3"/>
      <c r="M53" s="3"/>
    </row>
    <row r="54" spans="1:13">
      <c r="A54" s="7" t="s">
        <v>38</v>
      </c>
      <c r="B54" s="8" t="s">
        <v>309</v>
      </c>
      <c r="C54" s="8" t="s">
        <v>469</v>
      </c>
      <c r="D54" s="3"/>
      <c r="E54" s="8" t="s">
        <v>469</v>
      </c>
      <c r="F54" s="8"/>
      <c r="G54" s="8"/>
      <c r="H54" s="8"/>
      <c r="I54" s="9">
        <v>6564</v>
      </c>
      <c r="J54" s="8" t="s">
        <v>310</v>
      </c>
      <c r="K54" s="9">
        <f>SUM(B54:I55)</f>
        <v>41131</v>
      </c>
      <c r="L54" s="3"/>
      <c r="M54" s="3"/>
    </row>
    <row r="55" spans="1:13">
      <c r="A55" s="3"/>
      <c r="B55" s="10">
        <v>31483</v>
      </c>
      <c r="C55" s="9">
        <v>2519</v>
      </c>
      <c r="D55" s="3"/>
      <c r="E55" s="10">
        <v>565</v>
      </c>
      <c r="F55" s="10"/>
      <c r="G55" s="10"/>
      <c r="H55" s="11"/>
      <c r="I55" s="9"/>
      <c r="J55" s="9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9"/>
      <c r="J56" s="11"/>
      <c r="K56" s="3"/>
      <c r="L56" s="3"/>
      <c r="M56" s="3"/>
    </row>
    <row r="57" spans="1:13">
      <c r="A57" s="36" t="s">
        <v>41</v>
      </c>
      <c r="B57" s="37" t="s">
        <v>534</v>
      </c>
      <c r="C57" s="37" t="s">
        <v>535</v>
      </c>
      <c r="D57" s="37"/>
      <c r="E57" s="37" t="s">
        <v>535</v>
      </c>
      <c r="F57" s="37" t="s">
        <v>121</v>
      </c>
      <c r="G57" s="37"/>
      <c r="H57" s="37"/>
      <c r="I57" s="38">
        <v>5989</v>
      </c>
      <c r="J57" s="37" t="s">
        <v>42</v>
      </c>
      <c r="K57" s="9">
        <f>SUM(B57:I58)</f>
        <v>62636</v>
      </c>
      <c r="L57" s="3"/>
      <c r="M57" s="3"/>
    </row>
    <row r="58" spans="1:13">
      <c r="A58" s="39"/>
      <c r="B58" s="40">
        <v>46725</v>
      </c>
      <c r="C58" s="40">
        <v>1865</v>
      </c>
      <c r="D58" s="38"/>
      <c r="E58" s="38">
        <v>465</v>
      </c>
      <c r="F58" s="38">
        <v>7592</v>
      </c>
      <c r="G58" s="38"/>
      <c r="H58" s="40"/>
      <c r="I58" s="40"/>
      <c r="J58" s="38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9"/>
      <c r="J59" s="9"/>
      <c r="K59" s="3"/>
      <c r="L59" s="3"/>
      <c r="M59" s="3"/>
    </row>
    <row r="60" spans="1:13">
      <c r="A60" s="3" t="s">
        <v>45</v>
      </c>
      <c r="B60" s="10" t="s">
        <v>385</v>
      </c>
      <c r="C60" s="10" t="s">
        <v>472</v>
      </c>
      <c r="D60" s="10" t="s">
        <v>471</v>
      </c>
      <c r="E60" s="10" t="s">
        <v>472</v>
      </c>
      <c r="F60" s="10" t="s">
        <v>471</v>
      </c>
      <c r="G60" s="10"/>
      <c r="H60" s="10"/>
      <c r="I60" s="9">
        <v>5920</v>
      </c>
      <c r="J60" s="8" t="s">
        <v>388</v>
      </c>
      <c r="K60" s="9">
        <f>SUM(B60:I61)</f>
        <v>52441</v>
      </c>
      <c r="L60" s="3"/>
      <c r="M60" s="3"/>
    </row>
    <row r="61" spans="1:13">
      <c r="A61" s="7"/>
      <c r="B61" s="10">
        <v>41384</v>
      </c>
      <c r="C61" s="9">
        <v>2620</v>
      </c>
      <c r="D61" s="10">
        <v>352</v>
      </c>
      <c r="E61" s="10">
        <v>451</v>
      </c>
      <c r="F61" s="10">
        <v>1714</v>
      </c>
      <c r="G61" s="10"/>
      <c r="H61" s="11"/>
      <c r="I61" s="9"/>
      <c r="J61" s="11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9"/>
      <c r="I62" s="9"/>
      <c r="J62" s="9"/>
      <c r="K62" s="3"/>
      <c r="L62" s="3"/>
      <c r="M62" s="3"/>
    </row>
    <row r="63" spans="1:13">
      <c r="A63" s="39" t="s">
        <v>47</v>
      </c>
      <c r="B63" s="40" t="s">
        <v>352</v>
      </c>
      <c r="C63" s="40" t="s">
        <v>536</v>
      </c>
      <c r="D63" s="40"/>
      <c r="E63" s="40" t="s">
        <v>536</v>
      </c>
      <c r="F63" s="40" t="s">
        <v>352</v>
      </c>
      <c r="G63" s="40"/>
      <c r="H63" s="40"/>
      <c r="I63" s="38">
        <v>5474</v>
      </c>
      <c r="J63" s="37" t="s">
        <v>537</v>
      </c>
      <c r="K63" s="9">
        <f>SUM(B63:I64)</f>
        <v>61424</v>
      </c>
      <c r="L63" s="3"/>
      <c r="M63" s="3"/>
    </row>
    <row r="64" spans="1:13">
      <c r="A64" s="36"/>
      <c r="B64" s="40">
        <v>43647</v>
      </c>
      <c r="C64" s="40">
        <v>3569</v>
      </c>
      <c r="D64" s="40"/>
      <c r="E64" s="40">
        <v>783</v>
      </c>
      <c r="F64" s="40">
        <v>7951</v>
      </c>
      <c r="G64" s="40"/>
      <c r="H64" s="40"/>
      <c r="I64" s="38"/>
      <c r="J64" s="41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11"/>
      <c r="I65" s="9"/>
      <c r="J65" s="9"/>
      <c r="K65" s="3"/>
      <c r="L65" s="3"/>
      <c r="M65" s="3"/>
    </row>
    <row r="66" spans="1:13">
      <c r="A66" s="3" t="s">
        <v>49</v>
      </c>
      <c r="B66" s="10" t="s">
        <v>83</v>
      </c>
      <c r="C66" s="10" t="s">
        <v>538</v>
      </c>
      <c r="D66" s="10"/>
      <c r="E66" s="10" t="s">
        <v>168</v>
      </c>
      <c r="F66" s="10" t="s">
        <v>83</v>
      </c>
      <c r="G66" s="10"/>
      <c r="H66" s="10"/>
      <c r="I66" s="9">
        <v>5980</v>
      </c>
      <c r="J66" s="8" t="s">
        <v>84</v>
      </c>
      <c r="K66" s="9">
        <f>SUM(B66:I67)</f>
        <v>51281</v>
      </c>
      <c r="L66" s="3"/>
      <c r="M66" s="3"/>
    </row>
    <row r="67" spans="1:13">
      <c r="A67" s="7"/>
      <c r="B67" s="10">
        <v>35426</v>
      </c>
      <c r="C67" s="10">
        <v>5950</v>
      </c>
      <c r="D67" s="10"/>
      <c r="E67" s="10">
        <v>1024</v>
      </c>
      <c r="F67" s="10">
        <v>2901</v>
      </c>
      <c r="G67" s="10"/>
      <c r="H67" s="10"/>
      <c r="I67" s="9"/>
      <c r="J67" s="11"/>
      <c r="K67" s="3"/>
      <c r="L67" s="3"/>
      <c r="M67" s="3"/>
    </row>
    <row r="68" spans="1:13">
      <c r="A68" s="7"/>
      <c r="B68" s="3"/>
      <c r="C68" s="3"/>
      <c r="D68" s="3"/>
      <c r="E68" s="3"/>
      <c r="F68" s="3"/>
      <c r="G68" s="3"/>
      <c r="H68" s="3"/>
      <c r="I68" s="3"/>
      <c r="J68" s="11"/>
      <c r="K68" s="3"/>
      <c r="L68" s="3"/>
      <c r="M68" s="3"/>
    </row>
    <row r="69" spans="1:13">
      <c r="A69" s="39" t="s">
        <v>52</v>
      </c>
      <c r="B69" s="37" t="s">
        <v>539</v>
      </c>
      <c r="C69" s="37" t="s">
        <v>85</v>
      </c>
      <c r="D69" s="37" t="s">
        <v>85</v>
      </c>
      <c r="E69" s="37" t="s">
        <v>85</v>
      </c>
      <c r="F69" s="37" t="s">
        <v>539</v>
      </c>
      <c r="G69" s="37"/>
      <c r="H69" s="37"/>
      <c r="I69" s="38">
        <v>4401</v>
      </c>
      <c r="J69" s="40" t="s">
        <v>313</v>
      </c>
      <c r="K69" s="9">
        <f>SUM(B69:I70)</f>
        <v>47337</v>
      </c>
      <c r="L69" s="3"/>
      <c r="M69" s="3"/>
    </row>
    <row r="70" spans="1:13">
      <c r="A70" s="39"/>
      <c r="B70" s="40">
        <v>13484</v>
      </c>
      <c r="C70" s="40">
        <v>23621</v>
      </c>
      <c r="D70" s="40">
        <v>1498</v>
      </c>
      <c r="E70" s="40">
        <v>3151</v>
      </c>
      <c r="F70" s="40">
        <v>1182</v>
      </c>
      <c r="G70" s="40"/>
      <c r="H70" s="38"/>
      <c r="I70" s="38"/>
      <c r="J70" s="41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9"/>
      <c r="J71" s="11"/>
      <c r="K71" s="3"/>
      <c r="L71" s="3"/>
      <c r="M71" s="3"/>
    </row>
    <row r="72" spans="1:13">
      <c r="A72" s="7" t="s">
        <v>54</v>
      </c>
      <c r="B72" s="8" t="s">
        <v>93</v>
      </c>
      <c r="C72" s="8"/>
      <c r="D72" s="8" t="s">
        <v>93</v>
      </c>
      <c r="E72" s="8"/>
      <c r="F72" s="8" t="s">
        <v>93</v>
      </c>
      <c r="G72" s="8"/>
      <c r="H72" s="8"/>
      <c r="I72" s="9">
        <v>13119</v>
      </c>
      <c r="J72" s="8" t="s">
        <v>94</v>
      </c>
      <c r="K72" s="9">
        <f>SUM(B72:I73)</f>
        <v>43027</v>
      </c>
      <c r="L72" s="3"/>
      <c r="M72" s="3"/>
    </row>
    <row r="73" spans="1:13">
      <c r="A73" s="3"/>
      <c r="B73" s="10">
        <v>25472</v>
      </c>
      <c r="C73" s="10"/>
      <c r="D73" s="10">
        <v>2575</v>
      </c>
      <c r="E73" s="10"/>
      <c r="F73" s="10">
        <v>1861</v>
      </c>
      <c r="G73" s="10"/>
      <c r="H73" s="9"/>
      <c r="I73" s="9"/>
      <c r="J73" s="9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9"/>
      <c r="J74" s="11"/>
      <c r="K74" s="3"/>
      <c r="L74" s="3"/>
      <c r="M74" s="3"/>
    </row>
    <row r="75" spans="1:13">
      <c r="A75" s="7" t="s">
        <v>56</v>
      </c>
      <c r="B75" s="37"/>
      <c r="C75" s="37" t="s">
        <v>102</v>
      </c>
      <c r="D75" s="37" t="s">
        <v>102</v>
      </c>
      <c r="E75" s="37" t="s">
        <v>102</v>
      </c>
      <c r="F75" s="37"/>
      <c r="G75" s="37"/>
      <c r="H75" s="37"/>
      <c r="I75" s="38">
        <v>20671</v>
      </c>
      <c r="J75" s="37" t="s">
        <v>103</v>
      </c>
      <c r="K75" s="9">
        <f>SUM(B75:I76)</f>
        <v>75273</v>
      </c>
      <c r="L75" s="3"/>
      <c r="M75" s="3"/>
    </row>
    <row r="76" spans="1:13">
      <c r="A76" s="3"/>
      <c r="B76" s="40"/>
      <c r="C76" s="40">
        <v>43429</v>
      </c>
      <c r="D76" s="40">
        <v>4681</v>
      </c>
      <c r="E76" s="40">
        <v>6492</v>
      </c>
      <c r="F76" s="40"/>
      <c r="G76" s="40"/>
      <c r="H76" s="38"/>
      <c r="I76" s="38"/>
      <c r="J76" s="38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7" t="s">
        <v>58</v>
      </c>
      <c r="B78" s="8" t="s">
        <v>316</v>
      </c>
      <c r="C78" s="8" t="s">
        <v>540</v>
      </c>
      <c r="D78" s="8"/>
      <c r="E78" s="8"/>
      <c r="F78" s="8" t="s">
        <v>316</v>
      </c>
      <c r="G78" s="8"/>
      <c r="H78" s="8"/>
      <c r="I78" s="9">
        <v>7939</v>
      </c>
      <c r="J78" s="8" t="s">
        <v>541</v>
      </c>
      <c r="K78" s="9">
        <f>SUM(B78:I79)</f>
        <v>66641</v>
      </c>
      <c r="L78" s="3"/>
      <c r="M78" s="3"/>
    </row>
    <row r="79" spans="1:13">
      <c r="A79" s="3"/>
      <c r="B79" s="10">
        <v>43417</v>
      </c>
      <c r="C79" s="10">
        <v>8217</v>
      </c>
      <c r="D79" s="10"/>
      <c r="E79" s="10"/>
      <c r="F79" s="10">
        <v>7068</v>
      </c>
      <c r="G79" s="10"/>
      <c r="H79" s="9"/>
      <c r="I79" s="17"/>
      <c r="J79" s="9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15"/>
      <c r="J80" s="3"/>
      <c r="K80" s="3"/>
      <c r="L80" s="3"/>
      <c r="M80" s="3"/>
    </row>
    <row r="81" spans="1:13">
      <c r="A81" s="36" t="s">
        <v>59</v>
      </c>
      <c r="B81" s="37" t="s">
        <v>78</v>
      </c>
      <c r="C81" s="37" t="s">
        <v>542</v>
      </c>
      <c r="D81" s="37" t="s">
        <v>542</v>
      </c>
      <c r="E81" s="37"/>
      <c r="F81" s="37" t="s">
        <v>78</v>
      </c>
      <c r="G81" s="37"/>
      <c r="H81" s="37"/>
      <c r="I81" s="38">
        <v>6401</v>
      </c>
      <c r="J81" s="37" t="s">
        <v>79</v>
      </c>
      <c r="K81" s="9">
        <f>SUM(B81:I82)</f>
        <v>86257</v>
      </c>
      <c r="L81" s="3"/>
      <c r="M81" s="3"/>
    </row>
    <row r="82" spans="1:13">
      <c r="A82" s="39"/>
      <c r="B82" s="40">
        <v>53019</v>
      </c>
      <c r="C82" s="40">
        <v>22194</v>
      </c>
      <c r="D82" s="38">
        <v>1440</v>
      </c>
      <c r="E82" s="43"/>
      <c r="F82" s="43">
        <v>3203</v>
      </c>
      <c r="G82" s="43"/>
      <c r="H82" s="43"/>
      <c r="I82" s="43"/>
      <c r="J82" s="43"/>
      <c r="K82" s="24"/>
      <c r="L82" s="3"/>
      <c r="M82" s="3"/>
    </row>
    <row r="83" spans="1:13">
      <c r="A83" s="3"/>
      <c r="B83" s="10"/>
      <c r="C83" s="10"/>
      <c r="D83" s="9"/>
      <c r="E83" s="23"/>
      <c r="F83" s="23"/>
      <c r="G83" s="23"/>
      <c r="H83" s="23"/>
      <c r="I83" s="23"/>
      <c r="J83" s="23"/>
      <c r="K83" s="24"/>
      <c r="L83" s="3"/>
      <c r="M83" s="3"/>
    </row>
    <row r="84" spans="1:13">
      <c r="A84" s="7" t="s">
        <v>63</v>
      </c>
      <c r="B84" s="8" t="s">
        <v>543</v>
      </c>
      <c r="C84" s="8"/>
      <c r="D84" s="8"/>
      <c r="E84" s="8" t="s">
        <v>544</v>
      </c>
      <c r="F84" s="8"/>
      <c r="G84" s="8"/>
      <c r="H84" s="8"/>
      <c r="I84" s="17">
        <v>15749</v>
      </c>
      <c r="J84" s="8" t="s">
        <v>545</v>
      </c>
      <c r="K84" s="9">
        <f>SUM(B84:I85)</f>
        <v>49905</v>
      </c>
      <c r="L84" s="3"/>
      <c r="M84" s="3"/>
    </row>
    <row r="85" spans="1:13">
      <c r="A85" s="3"/>
      <c r="B85" s="10">
        <v>25004</v>
      </c>
      <c r="C85" s="9"/>
      <c r="D85" s="9"/>
      <c r="E85" s="9">
        <v>9152</v>
      </c>
      <c r="F85" s="9"/>
      <c r="G85" s="9"/>
      <c r="H85" s="11"/>
      <c r="I85" s="17"/>
      <c r="J85" s="9"/>
      <c r="K85" s="3"/>
      <c r="L85" s="3"/>
      <c r="M85" s="3"/>
    </row>
    <row r="86" spans="1:13" s="68" customFormat="1">
      <c r="A86" s="3"/>
      <c r="B86" s="10"/>
      <c r="C86" s="9"/>
      <c r="D86" s="9"/>
      <c r="E86" s="9"/>
      <c r="F86" s="9"/>
      <c r="G86" s="9"/>
      <c r="H86" s="11"/>
      <c r="I86" s="17"/>
      <c r="J86" s="9"/>
      <c r="K86" s="3"/>
      <c r="L86" s="3"/>
      <c r="M86" s="3"/>
    </row>
    <row r="87" spans="1:13" s="68" customFormat="1" ht="17.25">
      <c r="A87" s="7" t="s">
        <v>1271</v>
      </c>
      <c r="B87" s="10" t="s">
        <v>1272</v>
      </c>
      <c r="C87" s="10" t="s">
        <v>466</v>
      </c>
      <c r="D87" s="10" t="s">
        <v>1272</v>
      </c>
      <c r="E87" s="10" t="s">
        <v>466</v>
      </c>
      <c r="F87" s="10"/>
      <c r="G87" s="10"/>
      <c r="H87" s="8"/>
      <c r="I87" s="14">
        <f>16+26+36</f>
        <v>78</v>
      </c>
      <c r="J87" s="10" t="s">
        <v>1273</v>
      </c>
      <c r="K87" s="9">
        <f>SUM(B87:I88)</f>
        <v>22259</v>
      </c>
      <c r="L87" s="3"/>
      <c r="M87" s="3"/>
    </row>
    <row r="88" spans="1:13" s="68" customFormat="1">
      <c r="A88" s="3"/>
      <c r="B88" s="10">
        <v>10342</v>
      </c>
      <c r="C88" s="9">
        <v>9664</v>
      </c>
      <c r="D88" s="9">
        <v>742</v>
      </c>
      <c r="E88" s="9">
        <v>1433</v>
      </c>
      <c r="F88" s="9"/>
      <c r="G88" s="9"/>
      <c r="H88" s="11"/>
      <c r="I88" s="17"/>
      <c r="J88" s="9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17"/>
      <c r="J89" s="11"/>
      <c r="K89" s="3"/>
      <c r="L89" s="3"/>
      <c r="M89" s="3"/>
    </row>
    <row r="90" spans="1:13">
      <c r="A90" s="36" t="s">
        <v>65</v>
      </c>
      <c r="B90" s="37" t="s">
        <v>95</v>
      </c>
      <c r="C90" s="37" t="s">
        <v>322</v>
      </c>
      <c r="D90" s="37"/>
      <c r="E90" s="37" t="s">
        <v>546</v>
      </c>
      <c r="F90" s="37" t="s">
        <v>95</v>
      </c>
      <c r="G90" s="37"/>
      <c r="H90" s="40"/>
      <c r="I90" s="38">
        <v>5523</v>
      </c>
      <c r="J90" s="37" t="s">
        <v>109</v>
      </c>
      <c r="K90" s="9">
        <f>SUM(B90:I91)</f>
        <v>41837</v>
      </c>
      <c r="L90" s="3"/>
      <c r="M90" s="3"/>
    </row>
    <row r="91" spans="1:13">
      <c r="A91" s="39"/>
      <c r="B91" s="40">
        <v>31230</v>
      </c>
      <c r="C91" s="38">
        <v>2631</v>
      </c>
      <c r="D91" s="40"/>
      <c r="E91" s="40">
        <v>568</v>
      </c>
      <c r="F91" s="40">
        <v>1885</v>
      </c>
      <c r="G91" s="40"/>
      <c r="H91" s="40"/>
      <c r="I91" s="38"/>
      <c r="J91" s="38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17"/>
      <c r="J92" s="11"/>
      <c r="K92" s="3"/>
      <c r="L92" s="3"/>
      <c r="M92" s="3"/>
    </row>
    <row r="93" spans="1:13">
      <c r="A93" s="3" t="s">
        <v>67</v>
      </c>
      <c r="B93" s="10" t="s">
        <v>547</v>
      </c>
      <c r="C93" s="10" t="s">
        <v>548</v>
      </c>
      <c r="D93" s="10"/>
      <c r="E93" s="10"/>
      <c r="F93" s="10" t="s">
        <v>547</v>
      </c>
      <c r="G93" s="10"/>
      <c r="H93" s="10"/>
      <c r="I93" s="17">
        <v>8445</v>
      </c>
      <c r="J93" s="8" t="s">
        <v>549</v>
      </c>
      <c r="K93" s="9">
        <f>SUM(B93:I94)</f>
        <v>92565</v>
      </c>
      <c r="L93" s="3"/>
      <c r="M93" s="3"/>
    </row>
    <row r="94" spans="1:13">
      <c r="A94" s="3"/>
      <c r="B94" s="10">
        <v>62468</v>
      </c>
      <c r="C94" s="9">
        <v>12475</v>
      </c>
      <c r="D94" s="9"/>
      <c r="E94" s="9"/>
      <c r="F94" s="9">
        <v>9177</v>
      </c>
      <c r="G94" s="9"/>
      <c r="H94" s="9"/>
      <c r="I94" s="17"/>
      <c r="J94" s="9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17"/>
      <c r="J95" s="9"/>
      <c r="K95" s="3"/>
      <c r="L95" s="3"/>
      <c r="M95" s="3"/>
    </row>
    <row r="96" spans="1:13">
      <c r="A96" s="39" t="s">
        <v>68</v>
      </c>
      <c r="B96" s="40" t="s">
        <v>321</v>
      </c>
      <c r="C96" s="40" t="s">
        <v>550</v>
      </c>
      <c r="D96" s="40"/>
      <c r="E96" s="40"/>
      <c r="F96" s="40" t="s">
        <v>321</v>
      </c>
      <c r="G96" s="40"/>
      <c r="H96" s="40"/>
      <c r="I96" s="38">
        <v>7671</v>
      </c>
      <c r="J96" s="40" t="s">
        <v>323</v>
      </c>
      <c r="K96" s="9">
        <f>SUM(B96:I97)</f>
        <v>68259</v>
      </c>
      <c r="L96" s="3"/>
      <c r="M96" s="3"/>
    </row>
    <row r="97" spans="1:13">
      <c r="A97" s="39"/>
      <c r="B97" s="40">
        <v>51784</v>
      </c>
      <c r="C97" s="38">
        <v>3795</v>
      </c>
      <c r="D97" s="40"/>
      <c r="E97" s="40"/>
      <c r="F97" s="40">
        <v>5009</v>
      </c>
      <c r="G97" s="40"/>
      <c r="H97" s="38"/>
      <c r="I97" s="38"/>
      <c r="J97" s="38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11"/>
      <c r="I98" s="17"/>
      <c r="J98" s="9"/>
      <c r="K98" s="3"/>
      <c r="L98" s="3"/>
      <c r="M98" s="3"/>
    </row>
    <row r="99" spans="1:13">
      <c r="A99" s="3" t="s">
        <v>69</v>
      </c>
      <c r="B99" s="10" t="s">
        <v>395</v>
      </c>
      <c r="C99" s="10" t="s">
        <v>551</v>
      </c>
      <c r="D99" s="10"/>
      <c r="E99" s="10" t="s">
        <v>552</v>
      </c>
      <c r="F99" s="10" t="s">
        <v>395</v>
      </c>
      <c r="G99" s="10" t="s">
        <v>599</v>
      </c>
      <c r="H99" s="10"/>
      <c r="I99" s="17">
        <v>7292</v>
      </c>
      <c r="J99" s="10" t="s">
        <v>396</v>
      </c>
      <c r="K99" s="9">
        <f>SUM(B99:I100)</f>
        <v>66809</v>
      </c>
      <c r="L99" s="3"/>
      <c r="M99" s="3"/>
    </row>
    <row r="100" spans="1:13">
      <c r="A100" s="3"/>
      <c r="B100" s="10">
        <v>44799</v>
      </c>
      <c r="C100" s="10">
        <v>6388</v>
      </c>
      <c r="D100" s="10"/>
      <c r="E100" s="10">
        <v>964</v>
      </c>
      <c r="F100" s="10">
        <v>5208</v>
      </c>
      <c r="G100" s="10">
        <v>2158</v>
      </c>
      <c r="H100" s="9"/>
      <c r="I100" s="17"/>
      <c r="J100" s="9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9"/>
      <c r="I101" s="17"/>
      <c r="J101" s="9"/>
      <c r="K101" s="3"/>
      <c r="L101" s="3"/>
      <c r="M101" s="3"/>
    </row>
    <row r="102" spans="1:13">
      <c r="A102" s="39" t="s">
        <v>70</v>
      </c>
      <c r="B102" s="40" t="s">
        <v>481</v>
      </c>
      <c r="C102" s="40" t="s">
        <v>481</v>
      </c>
      <c r="D102" s="40"/>
      <c r="E102" s="40" t="s">
        <v>484</v>
      </c>
      <c r="F102" s="40"/>
      <c r="G102" s="40"/>
      <c r="H102" s="40"/>
      <c r="I102" s="38">
        <v>4680</v>
      </c>
      <c r="J102" s="40" t="s">
        <v>553</v>
      </c>
      <c r="K102" s="9">
        <f>SUM(B102:I103)</f>
        <v>42062</v>
      </c>
      <c r="L102" s="3"/>
      <c r="M102" s="3"/>
    </row>
    <row r="103" spans="1:13">
      <c r="A103" s="39"/>
      <c r="B103" s="40">
        <v>33519</v>
      </c>
      <c r="C103" s="40">
        <v>1747</v>
      </c>
      <c r="D103" s="40"/>
      <c r="E103" s="40">
        <v>2116</v>
      </c>
      <c r="F103" s="40"/>
      <c r="G103" s="40"/>
      <c r="H103" s="38"/>
      <c r="I103" s="38"/>
      <c r="J103" s="38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17"/>
      <c r="J104" s="9"/>
      <c r="K104" s="3"/>
      <c r="L104" s="3"/>
      <c r="M104" s="3"/>
    </row>
    <row r="105" spans="1:13">
      <c r="A105" s="3" t="s">
        <v>71</v>
      </c>
      <c r="B105" s="10" t="s">
        <v>122</v>
      </c>
      <c r="C105" s="10"/>
      <c r="D105" s="10"/>
      <c r="E105" s="10"/>
      <c r="F105" s="10" t="s">
        <v>122</v>
      </c>
      <c r="G105" s="10" t="s">
        <v>600</v>
      </c>
      <c r="H105" s="10"/>
      <c r="I105" s="17">
        <v>5055</v>
      </c>
      <c r="J105" s="10" t="s">
        <v>123</v>
      </c>
      <c r="K105" s="9">
        <f>SUM(B105:I106)</f>
        <v>33305</v>
      </c>
      <c r="L105" s="3"/>
      <c r="M105" s="3"/>
    </row>
    <row r="106" spans="1:13">
      <c r="A106" s="3"/>
      <c r="B106" s="10">
        <v>25022</v>
      </c>
      <c r="C106" s="10"/>
      <c r="D106" s="10"/>
      <c r="E106" s="10"/>
      <c r="F106" s="10">
        <v>2395</v>
      </c>
      <c r="G106" s="10">
        <v>833</v>
      </c>
      <c r="H106" s="9"/>
      <c r="I106" s="17"/>
      <c r="J106" s="9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15"/>
      <c r="J107" s="3"/>
      <c r="K107" s="3"/>
      <c r="L107" s="3"/>
      <c r="M107" s="3"/>
    </row>
    <row r="108" spans="1:13">
      <c r="A108" s="44" t="s">
        <v>5</v>
      </c>
      <c r="B108" s="37" t="s">
        <v>96</v>
      </c>
      <c r="C108" s="37" t="s">
        <v>554</v>
      </c>
      <c r="D108" s="37" t="s">
        <v>96</v>
      </c>
      <c r="E108" s="37" t="s">
        <v>554</v>
      </c>
      <c r="F108" s="37" t="s">
        <v>96</v>
      </c>
      <c r="G108" s="37"/>
      <c r="H108" s="37"/>
      <c r="I108" s="38">
        <v>3906</v>
      </c>
      <c r="J108" s="37" t="s">
        <v>329</v>
      </c>
      <c r="K108" s="38">
        <f>SUM(B108:I109)</f>
        <v>57507</v>
      </c>
      <c r="L108" s="3"/>
      <c r="M108" s="3"/>
    </row>
    <row r="109" spans="1:13">
      <c r="A109" s="38"/>
      <c r="B109" s="38">
        <v>31933</v>
      </c>
      <c r="C109" s="40">
        <v>14922</v>
      </c>
      <c r="D109" s="40">
        <v>1911</v>
      </c>
      <c r="E109" s="40">
        <v>2799</v>
      </c>
      <c r="F109" s="40">
        <v>2036</v>
      </c>
      <c r="G109" s="40"/>
      <c r="H109" s="40"/>
      <c r="I109" s="38"/>
      <c r="J109" s="41"/>
      <c r="K109" s="39"/>
      <c r="L109" s="3"/>
      <c r="M109" s="3"/>
    </row>
    <row r="110" spans="1:13">
      <c r="A110" s="9"/>
      <c r="B110" s="3"/>
      <c r="C110" s="3"/>
      <c r="D110" s="3"/>
      <c r="E110" s="3"/>
      <c r="F110" s="3"/>
      <c r="G110" s="3"/>
      <c r="H110" s="3"/>
      <c r="I110" s="17"/>
      <c r="J110" s="9"/>
      <c r="K110" s="3"/>
      <c r="L110" s="3"/>
      <c r="M110" s="3"/>
    </row>
    <row r="111" spans="1:13">
      <c r="A111" s="25" t="s">
        <v>104</v>
      </c>
      <c r="B111" s="8" t="s">
        <v>97</v>
      </c>
      <c r="C111" s="8" t="s">
        <v>555</v>
      </c>
      <c r="D111" s="8" t="s">
        <v>97</v>
      </c>
      <c r="E111" s="8" t="s">
        <v>555</v>
      </c>
      <c r="F111" s="8" t="s">
        <v>97</v>
      </c>
      <c r="G111" s="8"/>
      <c r="H111" s="8"/>
      <c r="I111" s="14">
        <v>4356</v>
      </c>
      <c r="J111" s="8" t="s">
        <v>105</v>
      </c>
      <c r="K111" s="9">
        <f>SUM(B111:I112)</f>
        <v>81707</v>
      </c>
      <c r="L111" s="3"/>
      <c r="M111" s="3"/>
    </row>
    <row r="112" spans="1:13">
      <c r="A112" s="9"/>
      <c r="B112" s="17">
        <v>39311</v>
      </c>
      <c r="C112" s="14">
        <v>29418</v>
      </c>
      <c r="D112" s="14">
        <v>1535</v>
      </c>
      <c r="E112" s="14">
        <v>4867</v>
      </c>
      <c r="F112" s="14">
        <v>2220</v>
      </c>
      <c r="G112" s="14"/>
      <c r="H112" s="14"/>
      <c r="I112" s="17"/>
      <c r="J112" s="11"/>
      <c r="K112" s="3"/>
      <c r="L112" s="3"/>
      <c r="M112" s="3"/>
    </row>
    <row r="113" spans="1:13">
      <c r="A113" s="9"/>
      <c r="B113" s="3"/>
      <c r="C113" s="3"/>
      <c r="D113" s="3"/>
      <c r="E113" s="3"/>
      <c r="F113" s="3"/>
      <c r="G113" s="3"/>
      <c r="H113" s="3"/>
      <c r="I113" s="17"/>
      <c r="J113" s="9"/>
      <c r="K113" s="3"/>
      <c r="L113" s="3"/>
      <c r="M113" s="3"/>
    </row>
    <row r="114" spans="1:13">
      <c r="A114" s="41" t="s">
        <v>8</v>
      </c>
      <c r="B114" s="37" t="s">
        <v>401</v>
      </c>
      <c r="C114" s="37" t="s">
        <v>124</v>
      </c>
      <c r="D114" s="37"/>
      <c r="E114" s="37" t="s">
        <v>124</v>
      </c>
      <c r="F114" s="37" t="s">
        <v>401</v>
      </c>
      <c r="G114" s="37"/>
      <c r="H114" s="37"/>
      <c r="I114" s="38">
        <v>4697</v>
      </c>
      <c r="J114" s="37" t="s">
        <v>403</v>
      </c>
      <c r="K114" s="38">
        <f>SUM(B114:I115)</f>
        <v>53717</v>
      </c>
      <c r="L114" s="3"/>
      <c r="M114" s="3"/>
    </row>
    <row r="115" spans="1:13">
      <c r="A115" s="38"/>
      <c r="B115" s="38">
        <v>44813</v>
      </c>
      <c r="C115" s="38">
        <v>1570</v>
      </c>
      <c r="D115" s="38"/>
      <c r="E115" s="38">
        <v>337</v>
      </c>
      <c r="F115" s="38">
        <v>2300</v>
      </c>
      <c r="G115" s="38"/>
      <c r="H115" s="38"/>
      <c r="I115" s="38"/>
      <c r="J115" s="41"/>
      <c r="K115" s="39"/>
      <c r="L115" s="3"/>
      <c r="M115" s="3"/>
    </row>
    <row r="116" spans="1:13">
      <c r="A116" s="9"/>
      <c r="B116" s="3"/>
      <c r="C116" s="3"/>
      <c r="D116" s="3"/>
      <c r="E116" s="3"/>
      <c r="F116" s="3"/>
      <c r="G116" s="3"/>
      <c r="H116" s="3"/>
      <c r="I116" s="15"/>
      <c r="J116" s="9"/>
      <c r="K116" s="3"/>
      <c r="L116" s="3"/>
      <c r="M116" s="3"/>
    </row>
    <row r="117" spans="1:13">
      <c r="A117" s="11" t="s">
        <v>10</v>
      </c>
      <c r="B117" s="8" t="s">
        <v>556</v>
      </c>
      <c r="C117" s="8" t="s">
        <v>486</v>
      </c>
      <c r="D117" s="8" t="s">
        <v>486</v>
      </c>
      <c r="E117" s="8" t="s">
        <v>486</v>
      </c>
      <c r="F117" s="8" t="s">
        <v>556</v>
      </c>
      <c r="G117" s="8"/>
      <c r="H117" s="8"/>
      <c r="I117" s="14">
        <v>4595</v>
      </c>
      <c r="J117" s="8" t="s">
        <v>557</v>
      </c>
      <c r="K117" s="9">
        <f>SUM(B117:I118)</f>
        <v>95641</v>
      </c>
      <c r="L117" s="3"/>
      <c r="M117" s="3"/>
    </row>
    <row r="118" spans="1:13">
      <c r="A118" s="9"/>
      <c r="B118" s="10">
        <v>43285</v>
      </c>
      <c r="C118" s="9">
        <v>38540</v>
      </c>
      <c r="D118" s="9">
        <v>2753</v>
      </c>
      <c r="E118" s="9">
        <v>3865</v>
      </c>
      <c r="F118" s="9">
        <v>2603</v>
      </c>
      <c r="G118" s="9"/>
      <c r="H118" s="9"/>
      <c r="I118" s="17"/>
      <c r="J118" s="11"/>
      <c r="K118" s="3"/>
      <c r="L118" s="3"/>
      <c r="M118" s="3"/>
    </row>
    <row r="119" spans="1:13">
      <c r="A119" s="9"/>
      <c r="B119" s="9"/>
      <c r="C119" s="9"/>
      <c r="D119" s="9"/>
      <c r="E119" s="9"/>
      <c r="F119" s="9"/>
      <c r="G119" s="9"/>
      <c r="H119" s="9"/>
      <c r="I119" s="17"/>
      <c r="J119" s="9"/>
      <c r="K119" s="3"/>
      <c r="L119" s="3"/>
      <c r="M119" s="3"/>
    </row>
    <row r="120" spans="1:13">
      <c r="A120" s="41" t="s">
        <v>14</v>
      </c>
      <c r="B120" s="37" t="s">
        <v>125</v>
      </c>
      <c r="C120" s="37" t="s">
        <v>253</v>
      </c>
      <c r="D120" s="37" t="s">
        <v>253</v>
      </c>
      <c r="E120" s="37" t="s">
        <v>253</v>
      </c>
      <c r="F120" s="37" t="s">
        <v>125</v>
      </c>
      <c r="G120" s="37"/>
      <c r="H120" s="37"/>
      <c r="I120" s="38">
        <v>4231</v>
      </c>
      <c r="J120" s="37" t="s">
        <v>558</v>
      </c>
      <c r="K120" s="38">
        <f>SUM(B120:I121)</f>
        <v>101351</v>
      </c>
      <c r="L120" s="3"/>
      <c r="M120" s="3"/>
    </row>
    <row r="121" spans="1:13">
      <c r="A121" s="38"/>
      <c r="B121" s="38">
        <v>47382</v>
      </c>
      <c r="C121" s="38">
        <v>37826</v>
      </c>
      <c r="D121" s="38">
        <v>1928</v>
      </c>
      <c r="E121" s="38">
        <v>5851</v>
      </c>
      <c r="F121" s="38">
        <v>4133</v>
      </c>
      <c r="G121" s="38"/>
      <c r="H121" s="38"/>
      <c r="I121" s="38"/>
      <c r="J121" s="41"/>
      <c r="K121" s="39"/>
      <c r="L121" s="3"/>
      <c r="M121" s="3"/>
    </row>
    <row r="122" spans="1:13">
      <c r="A122" s="9"/>
      <c r="B122" s="3"/>
      <c r="C122" s="3"/>
      <c r="D122" s="3"/>
      <c r="E122" s="3"/>
      <c r="F122" s="3"/>
      <c r="G122" s="3"/>
      <c r="H122" s="9"/>
      <c r="I122" s="17"/>
      <c r="J122" s="9"/>
      <c r="K122" s="3"/>
      <c r="L122" s="3"/>
      <c r="M122" s="3"/>
    </row>
    <row r="123" spans="1:13">
      <c r="A123" s="11" t="s">
        <v>17</v>
      </c>
      <c r="B123" s="8" t="s">
        <v>559</v>
      </c>
      <c r="C123" s="8" t="s">
        <v>335</v>
      </c>
      <c r="D123" s="8" t="s">
        <v>336</v>
      </c>
      <c r="E123" s="8" t="s">
        <v>336</v>
      </c>
      <c r="F123" s="8" t="s">
        <v>559</v>
      </c>
      <c r="G123" s="8"/>
      <c r="H123" s="8"/>
      <c r="I123" s="17">
        <v>5264</v>
      </c>
      <c r="J123" s="8" t="s">
        <v>337</v>
      </c>
      <c r="K123" s="9">
        <f>SUM(B123:I124)</f>
        <v>91821</v>
      </c>
      <c r="L123" s="3"/>
      <c r="M123" s="3"/>
    </row>
    <row r="124" spans="1:13">
      <c r="A124" s="9"/>
      <c r="B124" s="9">
        <v>30716</v>
      </c>
      <c r="C124" s="9">
        <v>42630</v>
      </c>
      <c r="D124" s="9">
        <v>3483</v>
      </c>
      <c r="E124" s="9">
        <v>6483</v>
      </c>
      <c r="F124" s="9">
        <v>3245</v>
      </c>
      <c r="G124" s="9"/>
      <c r="H124" s="11"/>
      <c r="I124" s="17"/>
      <c r="J124" s="11"/>
      <c r="K124" s="3"/>
      <c r="L124" s="3"/>
      <c r="M124" s="3"/>
    </row>
    <row r="125" spans="1:13">
      <c r="A125" s="9"/>
      <c r="B125" s="3"/>
      <c r="C125" s="3"/>
      <c r="D125" s="3"/>
      <c r="E125" s="3"/>
      <c r="F125" s="3"/>
      <c r="G125" s="3"/>
      <c r="H125" s="9"/>
      <c r="I125" s="17"/>
      <c r="J125" s="9"/>
      <c r="K125" s="3"/>
      <c r="L125" s="3"/>
      <c r="M125" s="3"/>
    </row>
    <row r="126" spans="1:13">
      <c r="A126" s="41" t="s">
        <v>19</v>
      </c>
      <c r="B126" s="37" t="s">
        <v>560</v>
      </c>
      <c r="C126" s="37" t="s">
        <v>180</v>
      </c>
      <c r="D126" s="37" t="s">
        <v>560</v>
      </c>
      <c r="E126" s="37" t="s">
        <v>180</v>
      </c>
      <c r="F126" s="37"/>
      <c r="G126" s="37"/>
      <c r="H126" s="37"/>
      <c r="I126" s="40">
        <v>5771</v>
      </c>
      <c r="J126" s="37" t="s">
        <v>561</v>
      </c>
      <c r="K126" s="38">
        <f>SUM(B126:I127)</f>
        <v>104975</v>
      </c>
      <c r="L126" s="3"/>
      <c r="M126" s="3"/>
    </row>
    <row r="127" spans="1:13">
      <c r="A127" s="38"/>
      <c r="B127" s="38">
        <v>43557</v>
      </c>
      <c r="C127" s="38">
        <v>42330</v>
      </c>
      <c r="D127" s="38">
        <v>4979</v>
      </c>
      <c r="E127" s="38">
        <v>8338</v>
      </c>
      <c r="F127" s="38"/>
      <c r="G127" s="38"/>
      <c r="H127" s="41"/>
      <c r="I127" s="38"/>
      <c r="J127" s="41"/>
      <c r="K127" s="39"/>
      <c r="L127" s="3"/>
      <c r="M127" s="3"/>
    </row>
    <row r="128" spans="1:13">
      <c r="A128" s="9"/>
      <c r="B128" s="3"/>
      <c r="C128" s="3"/>
      <c r="D128" s="3"/>
      <c r="E128" s="3"/>
      <c r="F128" s="3"/>
      <c r="G128" s="3"/>
      <c r="H128" s="9"/>
      <c r="I128" s="9"/>
      <c r="J128" s="9"/>
      <c r="K128" s="3"/>
      <c r="L128" s="3"/>
      <c r="M128" s="3"/>
    </row>
    <row r="129" spans="1:13">
      <c r="A129" s="11" t="s">
        <v>20</v>
      </c>
      <c r="B129" s="8" t="s">
        <v>394</v>
      </c>
      <c r="C129" s="8" t="s">
        <v>489</v>
      </c>
      <c r="D129" s="8" t="s">
        <v>489</v>
      </c>
      <c r="E129" s="8" t="s">
        <v>562</v>
      </c>
      <c r="F129" s="8" t="s">
        <v>394</v>
      </c>
      <c r="G129" s="8"/>
      <c r="H129" s="8"/>
      <c r="I129" s="10">
        <v>5115</v>
      </c>
      <c r="J129" s="8" t="s">
        <v>563</v>
      </c>
      <c r="K129" s="9">
        <f>SUM(B129:I130)</f>
        <v>100048</v>
      </c>
      <c r="L129" s="3"/>
      <c r="M129" s="3"/>
    </row>
    <row r="130" spans="1:13">
      <c r="A130" s="9"/>
      <c r="B130" s="9">
        <v>34342</v>
      </c>
      <c r="C130" s="9">
        <v>45453</v>
      </c>
      <c r="D130" s="9">
        <v>3986</v>
      </c>
      <c r="E130" s="9">
        <v>7241</v>
      </c>
      <c r="F130" s="9">
        <v>3911</v>
      </c>
      <c r="G130" s="9"/>
      <c r="H130" s="9"/>
      <c r="I130" s="9"/>
      <c r="J130" s="11"/>
      <c r="K130" s="3"/>
      <c r="L130" s="3"/>
      <c r="M130" s="3"/>
    </row>
    <row r="131" spans="1:13">
      <c r="A131" s="9"/>
      <c r="B131" s="3"/>
      <c r="C131" s="3"/>
      <c r="D131" s="3"/>
      <c r="E131" s="3"/>
      <c r="F131" s="3"/>
      <c r="G131" s="3"/>
      <c r="H131" s="3"/>
      <c r="I131" s="9"/>
      <c r="J131" s="9"/>
      <c r="K131" s="3"/>
      <c r="L131" s="3"/>
      <c r="M131" s="3"/>
    </row>
    <row r="132" spans="1:13">
      <c r="A132" s="41" t="s">
        <v>22</v>
      </c>
      <c r="B132" s="37" t="s">
        <v>564</v>
      </c>
      <c r="C132" s="37" t="s">
        <v>342</v>
      </c>
      <c r="D132" s="37" t="s">
        <v>342</v>
      </c>
      <c r="E132" s="37" t="s">
        <v>342</v>
      </c>
      <c r="F132" s="37" t="s">
        <v>564</v>
      </c>
      <c r="G132" s="37"/>
      <c r="H132" s="37"/>
      <c r="I132" s="40">
        <v>4942</v>
      </c>
      <c r="J132" s="37" t="s">
        <v>343</v>
      </c>
      <c r="K132" s="9">
        <f>SUM(B132:I133)</f>
        <v>93220</v>
      </c>
      <c r="L132" s="3"/>
      <c r="M132" s="3"/>
    </row>
    <row r="133" spans="1:13">
      <c r="A133" s="38"/>
      <c r="B133" s="40">
        <v>30451</v>
      </c>
      <c r="C133" s="38">
        <v>42146</v>
      </c>
      <c r="D133" s="38">
        <v>4233</v>
      </c>
      <c r="E133" s="38">
        <v>6154</v>
      </c>
      <c r="F133" s="38">
        <v>5294</v>
      </c>
      <c r="G133" s="38"/>
      <c r="H133" s="38"/>
      <c r="I133" s="38"/>
      <c r="J133" s="41"/>
      <c r="K133" s="3"/>
      <c r="L133" s="3"/>
      <c r="M133" s="3"/>
    </row>
    <row r="134" spans="1:13">
      <c r="A134" s="9"/>
      <c r="B134" s="3"/>
      <c r="C134" s="3"/>
      <c r="D134" s="3"/>
      <c r="E134" s="3"/>
      <c r="F134" s="3"/>
      <c r="G134" s="3"/>
      <c r="H134" s="3"/>
      <c r="I134" s="9"/>
      <c r="J134" s="9"/>
      <c r="K134" s="3"/>
      <c r="L134" s="3"/>
      <c r="M134" s="3"/>
    </row>
    <row r="135" spans="1:13">
      <c r="A135" s="11" t="s">
        <v>25</v>
      </c>
      <c r="B135" s="8" t="s">
        <v>565</v>
      </c>
      <c r="C135" s="8" t="s">
        <v>493</v>
      </c>
      <c r="D135" s="8" t="s">
        <v>493</v>
      </c>
      <c r="E135" s="8" t="s">
        <v>493</v>
      </c>
      <c r="F135" s="8" t="s">
        <v>565</v>
      </c>
      <c r="G135" s="8"/>
      <c r="H135" s="8"/>
      <c r="I135" s="9">
        <v>5418</v>
      </c>
      <c r="J135" s="8" t="s">
        <v>566</v>
      </c>
      <c r="K135" s="9">
        <f>SUM(B135:I136)</f>
        <v>116771</v>
      </c>
      <c r="L135" s="3"/>
      <c r="M135" s="3"/>
    </row>
    <row r="136" spans="1:13">
      <c r="A136" s="9"/>
      <c r="B136" s="10">
        <v>41336</v>
      </c>
      <c r="C136" s="9">
        <v>52112</v>
      </c>
      <c r="D136" s="9">
        <v>4729</v>
      </c>
      <c r="E136" s="9">
        <v>7970</v>
      </c>
      <c r="F136" s="9">
        <v>5206</v>
      </c>
      <c r="G136" s="9"/>
      <c r="H136" s="9"/>
      <c r="I136" s="9"/>
      <c r="J136" s="11"/>
      <c r="K136" s="3"/>
      <c r="L136" s="3"/>
      <c r="M136" s="3"/>
    </row>
    <row r="137" spans="1:13">
      <c r="A137" s="9"/>
      <c r="B137" s="3"/>
      <c r="C137" s="3"/>
      <c r="D137" s="3"/>
      <c r="E137" s="3"/>
      <c r="F137" s="3"/>
      <c r="G137" s="3"/>
      <c r="H137" s="3"/>
      <c r="I137" s="9"/>
      <c r="J137" s="9"/>
      <c r="K137" s="3"/>
      <c r="L137" s="3"/>
      <c r="M137" s="3"/>
    </row>
    <row r="138" spans="1:13">
      <c r="A138" s="41" t="s">
        <v>27</v>
      </c>
      <c r="B138" s="37" t="s">
        <v>567</v>
      </c>
      <c r="C138" s="37" t="s">
        <v>568</v>
      </c>
      <c r="D138" s="37" t="s">
        <v>568</v>
      </c>
      <c r="E138" s="37" t="s">
        <v>414</v>
      </c>
      <c r="F138" s="37" t="s">
        <v>567</v>
      </c>
      <c r="G138" s="37"/>
      <c r="H138" s="37"/>
      <c r="I138" s="38">
        <v>4571</v>
      </c>
      <c r="J138" s="37" t="s">
        <v>416</v>
      </c>
      <c r="K138" s="9">
        <f>SUM(B138:I139)</f>
        <v>100775</v>
      </c>
      <c r="L138" s="3"/>
      <c r="M138" s="3"/>
    </row>
    <row r="139" spans="1:13">
      <c r="A139" s="38"/>
      <c r="B139" s="38">
        <v>30642</v>
      </c>
      <c r="C139" s="38">
        <v>50743</v>
      </c>
      <c r="D139" s="38">
        <v>4125</v>
      </c>
      <c r="E139" s="38">
        <v>6903</v>
      </c>
      <c r="F139" s="38">
        <v>3791</v>
      </c>
      <c r="G139" s="38"/>
      <c r="H139" s="38"/>
      <c r="I139" s="38"/>
      <c r="J139" s="41"/>
      <c r="K139" s="3"/>
      <c r="L139" s="3"/>
      <c r="M139" s="3"/>
    </row>
    <row r="140" spans="1:13">
      <c r="A140" s="9"/>
      <c r="B140" s="3"/>
      <c r="C140" s="3"/>
      <c r="D140" s="3"/>
      <c r="E140" s="3"/>
      <c r="F140" s="3"/>
      <c r="G140" s="3"/>
      <c r="H140" s="9"/>
      <c r="I140" s="9"/>
      <c r="J140" s="9"/>
      <c r="K140" s="3"/>
      <c r="L140" s="3"/>
      <c r="M140" s="3"/>
    </row>
    <row r="141" spans="1:13">
      <c r="A141" s="11" t="s">
        <v>30</v>
      </c>
      <c r="B141" s="8"/>
      <c r="C141" s="8" t="s">
        <v>86</v>
      </c>
      <c r="D141" s="8" t="s">
        <v>86</v>
      </c>
      <c r="E141" s="8" t="s">
        <v>86</v>
      </c>
      <c r="F141" s="8"/>
      <c r="G141" s="8"/>
      <c r="H141" s="8"/>
      <c r="I141" s="9">
        <v>23166</v>
      </c>
      <c r="J141" s="8" t="s">
        <v>99</v>
      </c>
      <c r="K141" s="9">
        <f>SUM(B141:I142)</f>
        <v>94909</v>
      </c>
      <c r="L141" s="3"/>
      <c r="M141" s="3"/>
    </row>
    <row r="142" spans="1:13">
      <c r="A142" s="9"/>
      <c r="B142" s="11"/>
      <c r="C142" s="9">
        <v>56603</v>
      </c>
      <c r="D142" s="9">
        <v>10140</v>
      </c>
      <c r="E142" s="9">
        <v>5000</v>
      </c>
      <c r="F142" s="9"/>
      <c r="G142" s="9"/>
      <c r="H142" s="9"/>
      <c r="I142" s="9"/>
      <c r="J142" s="11"/>
      <c r="K142" s="3"/>
      <c r="L142" s="3"/>
      <c r="M142" s="3"/>
    </row>
    <row r="143" spans="1:13">
      <c r="A143" s="9"/>
      <c r="B143" s="3"/>
      <c r="C143" s="3"/>
      <c r="D143" s="3"/>
      <c r="E143" s="3"/>
      <c r="F143" s="3"/>
      <c r="G143" s="3"/>
      <c r="H143" s="3"/>
      <c r="I143" s="3"/>
      <c r="J143" s="9"/>
      <c r="K143" s="3"/>
      <c r="L143" s="3"/>
      <c r="M143" s="3"/>
    </row>
    <row r="144" spans="1:13">
      <c r="A144" s="41" t="s">
        <v>31</v>
      </c>
      <c r="B144" s="37" t="s">
        <v>72</v>
      </c>
      <c r="C144" s="37" t="s">
        <v>569</v>
      </c>
      <c r="D144" s="37" t="s">
        <v>72</v>
      </c>
      <c r="E144" s="42" t="s">
        <v>569</v>
      </c>
      <c r="F144" s="42" t="s">
        <v>570</v>
      </c>
      <c r="G144" s="42"/>
      <c r="H144" s="37" t="s">
        <v>571</v>
      </c>
      <c r="I144" s="38">
        <v>4148</v>
      </c>
      <c r="J144" s="37" t="s">
        <v>92</v>
      </c>
      <c r="K144" s="9">
        <f>SUM(B144:I145)</f>
        <v>104260</v>
      </c>
      <c r="L144" s="3"/>
      <c r="M144" s="3"/>
    </row>
    <row r="145" spans="1:13">
      <c r="A145" s="38"/>
      <c r="B145" s="38">
        <v>47073</v>
      </c>
      <c r="C145" s="38">
        <v>34116</v>
      </c>
      <c r="D145" s="38">
        <v>3002</v>
      </c>
      <c r="E145" s="38">
        <v>6292</v>
      </c>
      <c r="F145" s="38">
        <v>3649</v>
      </c>
      <c r="G145" s="38"/>
      <c r="H145" s="38">
        <v>5980</v>
      </c>
      <c r="I145" s="38"/>
      <c r="J145" s="41"/>
      <c r="K145" s="3"/>
      <c r="L145" s="3"/>
      <c r="M145" s="3"/>
    </row>
    <row r="146" spans="1:13">
      <c r="A146" s="9"/>
      <c r="B146" s="3"/>
      <c r="C146" s="3"/>
      <c r="D146" s="3"/>
      <c r="E146" s="3"/>
      <c r="F146" s="3"/>
      <c r="G146" s="3"/>
      <c r="H146" s="3"/>
      <c r="I146" s="9"/>
      <c r="J146" s="9"/>
      <c r="K146" s="3"/>
      <c r="L146" s="3"/>
      <c r="M146" s="3"/>
    </row>
    <row r="147" spans="1:13">
      <c r="A147" s="11" t="s">
        <v>34</v>
      </c>
      <c r="B147" s="8" t="s">
        <v>572</v>
      </c>
      <c r="C147" s="8" t="s">
        <v>106</v>
      </c>
      <c r="D147" s="8" t="s">
        <v>106</v>
      </c>
      <c r="E147" s="8" t="s">
        <v>106</v>
      </c>
      <c r="F147" s="8"/>
      <c r="G147" s="8"/>
      <c r="H147" s="8" t="s">
        <v>573</v>
      </c>
      <c r="I147" s="9">
        <v>4392</v>
      </c>
      <c r="J147" s="8" t="s">
        <v>135</v>
      </c>
      <c r="K147" s="9">
        <f>SUM(B147:I148)</f>
        <v>85826</v>
      </c>
      <c r="L147" s="3"/>
      <c r="M147" s="3"/>
    </row>
    <row r="148" spans="1:13">
      <c r="A148" s="9"/>
      <c r="B148" s="11">
        <v>24066</v>
      </c>
      <c r="C148" s="9">
        <v>47547</v>
      </c>
      <c r="D148" s="9">
        <v>4027</v>
      </c>
      <c r="E148" s="9">
        <v>4335</v>
      </c>
      <c r="F148" s="9"/>
      <c r="G148" s="9"/>
      <c r="H148" s="9">
        <v>1459</v>
      </c>
      <c r="I148" s="9"/>
      <c r="J148" s="11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41" t="s">
        <v>37</v>
      </c>
      <c r="B150" s="42" t="s">
        <v>574</v>
      </c>
      <c r="C150" s="42" t="s">
        <v>126</v>
      </c>
      <c r="D150" s="42" t="s">
        <v>574</v>
      </c>
      <c r="E150" s="42" t="s">
        <v>126</v>
      </c>
      <c r="F150" s="42"/>
      <c r="G150" s="42"/>
      <c r="H150" s="42" t="s">
        <v>575</v>
      </c>
      <c r="I150" s="40">
        <v>2308</v>
      </c>
      <c r="J150" s="42" t="s">
        <v>133</v>
      </c>
      <c r="K150" s="9">
        <f>SUM(B150:I151)</f>
        <v>75528</v>
      </c>
      <c r="L150" s="3"/>
      <c r="M150" s="3"/>
    </row>
    <row r="151" spans="1:13">
      <c r="A151" s="39"/>
      <c r="B151" s="38">
        <v>30852</v>
      </c>
      <c r="C151" s="38">
        <v>33272</v>
      </c>
      <c r="D151" s="38">
        <v>3860</v>
      </c>
      <c r="E151" s="38">
        <v>4922</v>
      </c>
      <c r="F151" s="38"/>
      <c r="G151" s="38"/>
      <c r="H151" s="38">
        <v>314</v>
      </c>
      <c r="I151" s="39"/>
      <c r="J151" s="39"/>
      <c r="K151" s="9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9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9"/>
      <c r="L153" s="3"/>
      <c r="M153" s="3"/>
    </row>
    <row r="154" spans="1:13">
      <c r="A154" s="11" t="s">
        <v>39</v>
      </c>
      <c r="B154" s="8" t="s">
        <v>98</v>
      </c>
      <c r="C154" s="8" t="s">
        <v>576</v>
      </c>
      <c r="D154" s="8" t="s">
        <v>98</v>
      </c>
      <c r="E154" s="8" t="s">
        <v>576</v>
      </c>
      <c r="F154" s="8" t="s">
        <v>98</v>
      </c>
      <c r="G154" s="8"/>
      <c r="H154" s="8"/>
      <c r="I154" s="9">
        <v>4152</v>
      </c>
      <c r="J154" s="8" t="s">
        <v>110</v>
      </c>
      <c r="K154" s="9">
        <f>SUM(B154:I155)</f>
        <v>87404</v>
      </c>
      <c r="L154" s="3"/>
      <c r="M154" s="3"/>
    </row>
    <row r="155" spans="1:13">
      <c r="A155" s="9"/>
      <c r="B155" s="9">
        <v>37637</v>
      </c>
      <c r="C155" s="9">
        <v>32760</v>
      </c>
      <c r="D155" s="9">
        <v>3102</v>
      </c>
      <c r="E155" s="9">
        <v>6557</v>
      </c>
      <c r="F155" s="9">
        <v>3196</v>
      </c>
      <c r="G155" s="9"/>
      <c r="H155" s="9"/>
      <c r="I155" s="9"/>
      <c r="J155" s="11"/>
      <c r="K155" s="9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9"/>
      <c r="L156" s="3"/>
      <c r="M156" s="3"/>
    </row>
    <row r="157" spans="1:13">
      <c r="A157" s="41" t="s">
        <v>43</v>
      </c>
      <c r="B157" s="37" t="s">
        <v>577</v>
      </c>
      <c r="C157" s="37" t="s">
        <v>87</v>
      </c>
      <c r="D157" s="37" t="s">
        <v>87</v>
      </c>
      <c r="E157" s="37" t="s">
        <v>87</v>
      </c>
      <c r="F157" s="37" t="s">
        <v>577</v>
      </c>
      <c r="G157" s="37"/>
      <c r="H157" s="37"/>
      <c r="I157" s="38">
        <v>3926</v>
      </c>
      <c r="J157" s="37" t="s">
        <v>40</v>
      </c>
      <c r="K157" s="9">
        <f>SUM(B157:I158)</f>
        <v>94815</v>
      </c>
      <c r="L157" s="3"/>
      <c r="M157" s="3"/>
    </row>
    <row r="158" spans="1:13">
      <c r="A158" s="38"/>
      <c r="B158" s="41">
        <v>27731</v>
      </c>
      <c r="C158" s="38">
        <v>46821</v>
      </c>
      <c r="D158" s="38">
        <v>4978</v>
      </c>
      <c r="E158" s="38">
        <v>7093</v>
      </c>
      <c r="F158" s="38">
        <v>4266</v>
      </c>
      <c r="G158" s="38"/>
      <c r="H158" s="38"/>
      <c r="I158" s="38"/>
      <c r="J158" s="41"/>
      <c r="K158" s="9"/>
      <c r="L158" s="3"/>
      <c r="M158" s="3"/>
    </row>
    <row r="159" spans="1:13">
      <c r="A159" s="9"/>
      <c r="B159" s="3"/>
      <c r="C159" s="3"/>
      <c r="D159" s="3"/>
      <c r="E159" s="3"/>
      <c r="F159" s="3"/>
      <c r="G159" s="3"/>
      <c r="H159" s="3"/>
      <c r="I159" s="9"/>
      <c r="J159" s="9"/>
      <c r="K159" s="9"/>
      <c r="L159" s="3"/>
      <c r="M159" s="3"/>
    </row>
    <row r="160" spans="1:13">
      <c r="A160" s="11" t="s">
        <v>46</v>
      </c>
      <c r="B160" s="8"/>
      <c r="C160" s="8" t="s">
        <v>88</v>
      </c>
      <c r="D160" s="8" t="s">
        <v>88</v>
      </c>
      <c r="E160" s="8" t="s">
        <v>88</v>
      </c>
      <c r="F160" s="8"/>
      <c r="G160" s="8"/>
      <c r="H160" s="8"/>
      <c r="I160" s="9">
        <v>25959</v>
      </c>
      <c r="J160" s="8" t="s">
        <v>44</v>
      </c>
      <c r="K160" s="9">
        <f>SUM(B160:I161)</f>
        <v>92915</v>
      </c>
      <c r="L160" s="3"/>
      <c r="M160" s="3"/>
    </row>
    <row r="161" spans="1:13">
      <c r="A161" s="9"/>
      <c r="B161" s="9"/>
      <c r="C161" s="9">
        <v>52450</v>
      </c>
      <c r="D161" s="9">
        <v>8080</v>
      </c>
      <c r="E161" s="9">
        <v>6426</v>
      </c>
      <c r="F161" s="9"/>
      <c r="G161" s="9"/>
      <c r="H161" s="9"/>
      <c r="I161" s="9"/>
      <c r="J161" s="11"/>
      <c r="K161" s="9"/>
      <c r="L161" s="3"/>
      <c r="M161" s="3"/>
    </row>
    <row r="162" spans="1:13">
      <c r="A162" s="9"/>
      <c r="B162" s="3"/>
      <c r="C162" s="3"/>
      <c r="D162" s="3"/>
      <c r="E162" s="3"/>
      <c r="F162" s="3"/>
      <c r="G162" s="3"/>
      <c r="H162" s="3"/>
      <c r="I162" s="9"/>
      <c r="J162" s="9"/>
      <c r="K162" s="9"/>
      <c r="L162" s="3"/>
      <c r="M162" s="3"/>
    </row>
    <row r="163" spans="1:13">
      <c r="A163" s="41" t="s">
        <v>48</v>
      </c>
      <c r="B163" s="37" t="s">
        <v>497</v>
      </c>
      <c r="C163" s="37" t="s">
        <v>418</v>
      </c>
      <c r="D163" s="37" t="s">
        <v>418</v>
      </c>
      <c r="E163" s="37" t="s">
        <v>418</v>
      </c>
      <c r="F163" s="37"/>
      <c r="G163" s="37"/>
      <c r="H163" s="37"/>
      <c r="I163" s="38">
        <v>4630</v>
      </c>
      <c r="J163" s="37" t="s">
        <v>419</v>
      </c>
      <c r="K163" s="9">
        <f>SUM(B163:I164)</f>
        <v>90676</v>
      </c>
      <c r="L163" s="3"/>
      <c r="M163" s="3"/>
    </row>
    <row r="164" spans="1:13">
      <c r="A164" s="38"/>
      <c r="B164" s="38">
        <v>33346</v>
      </c>
      <c r="C164" s="38">
        <v>45613</v>
      </c>
      <c r="D164" s="38">
        <v>3161</v>
      </c>
      <c r="E164" s="38">
        <v>3926</v>
      </c>
      <c r="F164" s="38"/>
      <c r="G164" s="38"/>
      <c r="H164" s="38"/>
      <c r="I164" s="38"/>
      <c r="J164" s="41"/>
      <c r="K164" s="9"/>
      <c r="L164" s="3"/>
      <c r="M164" s="3"/>
    </row>
    <row r="165" spans="1:13">
      <c r="A165" s="9"/>
      <c r="B165" s="3"/>
      <c r="C165" s="3"/>
      <c r="D165" s="3"/>
      <c r="E165" s="3"/>
      <c r="F165" s="3"/>
      <c r="G165" s="3"/>
      <c r="H165" s="3"/>
      <c r="I165" s="9"/>
      <c r="J165" s="9"/>
      <c r="K165" s="9"/>
      <c r="L165" s="3"/>
      <c r="M165" s="3"/>
    </row>
    <row r="166" spans="1:13">
      <c r="A166" s="11" t="s">
        <v>50</v>
      </c>
      <c r="B166" s="8" t="s">
        <v>578</v>
      </c>
      <c r="C166" s="8" t="s">
        <v>127</v>
      </c>
      <c r="D166" s="8"/>
      <c r="E166" s="8" t="s">
        <v>127</v>
      </c>
      <c r="F166" s="8" t="s">
        <v>578</v>
      </c>
      <c r="G166" s="8"/>
      <c r="H166" s="8"/>
      <c r="I166" s="9">
        <v>4679</v>
      </c>
      <c r="J166" s="8" t="s">
        <v>128</v>
      </c>
      <c r="K166" s="9">
        <f>SUM(B166:I167)</f>
        <v>82375</v>
      </c>
      <c r="L166" s="3"/>
      <c r="M166" s="3"/>
    </row>
    <row r="167" spans="1:13">
      <c r="A167" s="9"/>
      <c r="B167" s="11">
        <v>27431</v>
      </c>
      <c r="C167" s="9">
        <v>41878</v>
      </c>
      <c r="D167" s="9"/>
      <c r="E167" s="9">
        <v>4348</v>
      </c>
      <c r="F167" s="9">
        <v>4039</v>
      </c>
      <c r="G167" s="9"/>
      <c r="H167" s="9"/>
      <c r="I167" s="9"/>
      <c r="J167" s="11"/>
      <c r="K167" s="9"/>
      <c r="L167" s="3"/>
      <c r="M167" s="3"/>
    </row>
    <row r="168" spans="1:13">
      <c r="A168" s="9"/>
      <c r="B168" s="3"/>
      <c r="C168" s="3"/>
      <c r="D168" s="3"/>
      <c r="E168" s="3"/>
      <c r="F168" s="3"/>
      <c r="G168" s="3"/>
      <c r="H168" s="3"/>
      <c r="I168" s="9"/>
      <c r="J168" s="9"/>
      <c r="K168" s="9"/>
      <c r="L168" s="3"/>
      <c r="M168" s="3"/>
    </row>
    <row r="169" spans="1:13">
      <c r="A169" s="41" t="s">
        <v>51</v>
      </c>
      <c r="B169" s="37" t="s">
        <v>579</v>
      </c>
      <c r="C169" s="37" t="s">
        <v>420</v>
      </c>
      <c r="D169" s="37" t="s">
        <v>420</v>
      </c>
      <c r="E169" s="37" t="s">
        <v>420</v>
      </c>
      <c r="F169" s="37" t="s">
        <v>579</v>
      </c>
      <c r="G169" s="37"/>
      <c r="H169" s="37"/>
      <c r="I169" s="38">
        <v>4304</v>
      </c>
      <c r="J169" s="37" t="s">
        <v>421</v>
      </c>
      <c r="K169" s="9">
        <f>SUM(B169:I170)</f>
        <v>93321</v>
      </c>
      <c r="L169" s="3"/>
      <c r="M169" s="3"/>
    </row>
    <row r="170" spans="1:13">
      <c r="A170" s="38"/>
      <c r="B170" s="38">
        <v>24387</v>
      </c>
      <c r="C170" s="38">
        <v>50073</v>
      </c>
      <c r="D170" s="38">
        <v>4413</v>
      </c>
      <c r="E170" s="38">
        <v>7472</v>
      </c>
      <c r="F170" s="38">
        <v>2672</v>
      </c>
      <c r="G170" s="38"/>
      <c r="H170" s="41"/>
      <c r="I170" s="38"/>
      <c r="J170" s="41"/>
      <c r="K170" s="9"/>
      <c r="L170" s="3"/>
      <c r="M170" s="3"/>
    </row>
    <row r="171" spans="1:13">
      <c r="A171" s="9"/>
      <c r="B171" s="3"/>
      <c r="C171" s="3"/>
      <c r="D171" s="3"/>
      <c r="E171" s="3"/>
      <c r="F171" s="3"/>
      <c r="G171" s="3"/>
      <c r="H171" s="3"/>
      <c r="I171" s="9"/>
      <c r="J171" s="9"/>
      <c r="K171" s="9"/>
      <c r="L171" s="3"/>
      <c r="M171" s="3"/>
    </row>
    <row r="172" spans="1:13">
      <c r="A172" s="11" t="s">
        <v>53</v>
      </c>
      <c r="B172" s="8" t="s">
        <v>580</v>
      </c>
      <c r="C172" s="8" t="s">
        <v>581</v>
      </c>
      <c r="D172" s="8" t="s">
        <v>582</v>
      </c>
      <c r="E172" s="8" t="s">
        <v>582</v>
      </c>
      <c r="F172" s="8"/>
      <c r="G172" s="8"/>
      <c r="H172" s="8" t="s">
        <v>583</v>
      </c>
      <c r="I172" s="9">
        <v>4188</v>
      </c>
      <c r="J172" s="8" t="s">
        <v>584</v>
      </c>
      <c r="K172" s="9">
        <f>SUM(B172:I173)</f>
        <v>111376</v>
      </c>
      <c r="L172" s="3"/>
      <c r="M172" s="3"/>
    </row>
    <row r="173" spans="1:13">
      <c r="A173" s="9"/>
      <c r="B173" s="9">
        <v>47298</v>
      </c>
      <c r="C173" s="9">
        <v>45141</v>
      </c>
      <c r="D173" s="9">
        <v>3914</v>
      </c>
      <c r="E173" s="9">
        <v>7970</v>
      </c>
      <c r="F173" s="9"/>
      <c r="G173" s="9"/>
      <c r="H173" s="9">
        <v>2865</v>
      </c>
      <c r="I173" s="9"/>
      <c r="J173" s="11"/>
      <c r="K173" s="9"/>
      <c r="L173" s="3"/>
      <c r="M173" s="3"/>
    </row>
    <row r="174" spans="1:13">
      <c r="A174" s="9"/>
      <c r="B174" s="3"/>
      <c r="C174" s="3"/>
      <c r="D174" s="3"/>
      <c r="E174" s="3"/>
      <c r="F174" s="3"/>
      <c r="G174" s="3"/>
      <c r="H174" s="3"/>
      <c r="I174" s="9"/>
      <c r="J174" s="9"/>
      <c r="K174" s="9"/>
      <c r="L174" s="3"/>
      <c r="M174" s="3"/>
    </row>
    <row r="175" spans="1:13">
      <c r="A175" s="41" t="s">
        <v>55</v>
      </c>
      <c r="B175" s="37" t="s">
        <v>585</v>
      </c>
      <c r="C175" s="37" t="s">
        <v>89</v>
      </c>
      <c r="D175" s="37" t="s">
        <v>89</v>
      </c>
      <c r="E175" s="37" t="s">
        <v>89</v>
      </c>
      <c r="F175" s="37" t="s">
        <v>585</v>
      </c>
      <c r="G175" s="37"/>
      <c r="H175" s="37"/>
      <c r="I175" s="38">
        <v>3854</v>
      </c>
      <c r="J175" s="37" t="s">
        <v>90</v>
      </c>
      <c r="K175" s="9">
        <f>SUM(B175:I176)</f>
        <v>79038</v>
      </c>
      <c r="L175" s="3"/>
      <c r="M175" s="3"/>
    </row>
    <row r="176" spans="1:13">
      <c r="A176" s="38"/>
      <c r="B176" s="40">
        <v>26136</v>
      </c>
      <c r="C176" s="40">
        <v>35890</v>
      </c>
      <c r="D176" s="40">
        <v>4837</v>
      </c>
      <c r="E176" s="40">
        <v>5779</v>
      </c>
      <c r="F176" s="40">
        <v>2542</v>
      </c>
      <c r="G176" s="40"/>
      <c r="H176" s="38"/>
      <c r="I176" s="38"/>
      <c r="J176" s="41"/>
      <c r="K176" s="9"/>
      <c r="L176" s="3"/>
      <c r="M176" s="3"/>
    </row>
    <row r="177" spans="1:13">
      <c r="A177" s="9"/>
      <c r="B177" s="3"/>
      <c r="C177" s="3"/>
      <c r="D177" s="3"/>
      <c r="E177" s="3"/>
      <c r="F177" s="3"/>
      <c r="G177" s="3"/>
      <c r="H177" s="3"/>
      <c r="I177" s="9"/>
      <c r="J177" s="9"/>
      <c r="K177" s="9"/>
      <c r="L177" s="3"/>
      <c r="M177" s="3"/>
    </row>
    <row r="178" spans="1:13">
      <c r="A178" s="11" t="s">
        <v>57</v>
      </c>
      <c r="B178" s="8" t="s">
        <v>586</v>
      </c>
      <c r="C178" s="8" t="s">
        <v>100</v>
      </c>
      <c r="D178" s="8" t="s">
        <v>100</v>
      </c>
      <c r="E178" s="8" t="s">
        <v>100</v>
      </c>
      <c r="F178" s="8"/>
      <c r="G178" s="8"/>
      <c r="H178" s="8"/>
      <c r="I178" s="9">
        <v>3034</v>
      </c>
      <c r="J178" s="10" t="s">
        <v>115</v>
      </c>
      <c r="K178" s="9">
        <f>SUM(B178:I179)</f>
        <v>82367</v>
      </c>
      <c r="L178" s="3"/>
      <c r="M178" s="3"/>
    </row>
    <row r="179" spans="1:13">
      <c r="A179" s="9"/>
      <c r="B179" s="10">
        <v>12121</v>
      </c>
      <c r="C179" s="10">
        <v>56304</v>
      </c>
      <c r="D179" s="10">
        <v>4746</v>
      </c>
      <c r="E179" s="10">
        <v>6162</v>
      </c>
      <c r="F179" s="10"/>
      <c r="G179" s="10"/>
      <c r="H179" s="9"/>
      <c r="I179" s="9"/>
      <c r="J179" s="11"/>
      <c r="K179" s="9"/>
      <c r="L179" s="3"/>
      <c r="M179" s="3"/>
    </row>
    <row r="180" spans="1:13">
      <c r="A180" s="9"/>
      <c r="B180" s="3"/>
      <c r="C180" s="3"/>
      <c r="D180" s="3"/>
      <c r="E180" s="3"/>
      <c r="F180" s="3"/>
      <c r="G180" s="3"/>
      <c r="H180" s="3"/>
      <c r="I180" s="9"/>
      <c r="J180" s="9"/>
      <c r="K180" s="9"/>
      <c r="L180" s="3"/>
      <c r="M180" s="3"/>
    </row>
    <row r="181" spans="1:13">
      <c r="A181" s="41" t="s">
        <v>60</v>
      </c>
      <c r="B181" s="37" t="s">
        <v>129</v>
      </c>
      <c r="C181" s="37" t="s">
        <v>587</v>
      </c>
      <c r="D181" s="37" t="s">
        <v>588</v>
      </c>
      <c r="E181" s="37" t="s">
        <v>129</v>
      </c>
      <c r="F181" s="37" t="s">
        <v>588</v>
      </c>
      <c r="G181" s="37"/>
      <c r="H181" s="40" t="s">
        <v>589</v>
      </c>
      <c r="I181" s="38">
        <v>4011</v>
      </c>
      <c r="J181" s="37" t="s">
        <v>130</v>
      </c>
      <c r="K181" s="9">
        <f>SUM(B181:I182)</f>
        <v>94541</v>
      </c>
      <c r="L181" s="3"/>
      <c r="M181" s="3"/>
    </row>
    <row r="182" spans="1:13">
      <c r="A182" s="38"/>
      <c r="B182" s="40">
        <v>38496</v>
      </c>
      <c r="C182" s="38">
        <v>40780</v>
      </c>
      <c r="D182" s="40">
        <v>4694</v>
      </c>
      <c r="E182" s="40">
        <v>4261</v>
      </c>
      <c r="F182" s="40">
        <v>1917</v>
      </c>
      <c r="G182" s="40"/>
      <c r="H182" s="38">
        <v>382</v>
      </c>
      <c r="I182" s="38"/>
      <c r="J182" s="41"/>
      <c r="K182" s="9"/>
      <c r="L182" s="3"/>
      <c r="M182" s="3"/>
    </row>
    <row r="183" spans="1:13">
      <c r="A183" s="9"/>
      <c r="B183" s="3"/>
      <c r="C183" s="3"/>
      <c r="D183" s="3"/>
      <c r="E183" s="3"/>
      <c r="F183" s="3"/>
      <c r="G183" s="3"/>
      <c r="H183" s="3"/>
      <c r="I183" s="9"/>
      <c r="J183" s="9"/>
      <c r="K183" s="9"/>
      <c r="L183" s="3"/>
      <c r="M183" s="3"/>
    </row>
    <row r="184" spans="1:13">
      <c r="A184" s="11" t="s">
        <v>61</v>
      </c>
      <c r="B184" s="8" t="s">
        <v>590</v>
      </c>
      <c r="C184" s="8" t="s">
        <v>131</v>
      </c>
      <c r="D184" s="8" t="s">
        <v>131</v>
      </c>
      <c r="E184" s="8" t="s">
        <v>131</v>
      </c>
      <c r="F184" s="8" t="s">
        <v>590</v>
      </c>
      <c r="G184" s="8"/>
      <c r="H184" s="10" t="s">
        <v>591</v>
      </c>
      <c r="I184" s="9">
        <v>5853</v>
      </c>
      <c r="J184" s="8" t="s">
        <v>132</v>
      </c>
      <c r="K184" s="9">
        <f>SUM(B184:I185)</f>
        <v>106623</v>
      </c>
      <c r="L184" s="3"/>
      <c r="M184" s="3"/>
    </row>
    <row r="185" spans="1:13">
      <c r="A185" s="9"/>
      <c r="B185" s="10">
        <v>26759</v>
      </c>
      <c r="C185" s="9">
        <v>48067</v>
      </c>
      <c r="D185" s="10">
        <v>3837</v>
      </c>
      <c r="E185" s="10">
        <v>7304</v>
      </c>
      <c r="F185" s="10">
        <v>3953</v>
      </c>
      <c r="G185" s="10"/>
      <c r="H185" s="9">
        <v>10850</v>
      </c>
      <c r="I185" s="9"/>
      <c r="J185" s="11"/>
      <c r="K185" s="9"/>
      <c r="L185" s="3"/>
      <c r="M185" s="3"/>
    </row>
    <row r="186" spans="1:13">
      <c r="A186" s="9"/>
      <c r="B186" s="3"/>
      <c r="C186" s="3"/>
      <c r="D186" s="3"/>
      <c r="E186" s="3"/>
      <c r="F186" s="3"/>
      <c r="G186" s="3"/>
      <c r="H186" s="3"/>
      <c r="I186" s="9"/>
      <c r="J186" s="9"/>
      <c r="K186" s="9"/>
      <c r="L186" s="3"/>
      <c r="M186" s="3"/>
    </row>
    <row r="187" spans="1:13">
      <c r="A187" s="41" t="s">
        <v>62</v>
      </c>
      <c r="B187" s="37" t="s">
        <v>401</v>
      </c>
      <c r="C187" s="37" t="s">
        <v>426</v>
      </c>
      <c r="D187" s="37"/>
      <c r="E187" s="37" t="s">
        <v>426</v>
      </c>
      <c r="F187" s="37" t="s">
        <v>401</v>
      </c>
      <c r="G187" s="37"/>
      <c r="H187" s="40"/>
      <c r="I187" s="38">
        <v>4555</v>
      </c>
      <c r="J187" s="37" t="s">
        <v>503</v>
      </c>
      <c r="K187" s="9">
        <f>SUM(B187:I188)</f>
        <v>70522</v>
      </c>
      <c r="L187" s="3"/>
      <c r="M187" s="3"/>
    </row>
    <row r="188" spans="1:13">
      <c r="A188" s="38"/>
      <c r="B188" s="40">
        <v>30688</v>
      </c>
      <c r="C188" s="40">
        <v>28875</v>
      </c>
      <c r="D188" s="40"/>
      <c r="E188" s="40">
        <v>4368</v>
      </c>
      <c r="F188" s="40">
        <v>2036</v>
      </c>
      <c r="G188" s="40"/>
      <c r="H188" s="40"/>
      <c r="I188" s="38"/>
      <c r="J188" s="41"/>
      <c r="K188" s="9"/>
      <c r="L188" s="3"/>
      <c r="M188" s="3"/>
    </row>
    <row r="189" spans="1:13">
      <c r="A189" s="9"/>
      <c r="B189" s="26"/>
      <c r="C189" s="27"/>
      <c r="D189" s="27"/>
      <c r="E189" s="27"/>
      <c r="F189" s="27"/>
      <c r="G189" s="27"/>
      <c r="H189" s="9"/>
      <c r="I189" s="9"/>
      <c r="J189" s="9"/>
      <c r="K189" s="9"/>
      <c r="L189" s="3"/>
      <c r="M189" s="3"/>
    </row>
    <row r="190" spans="1:13">
      <c r="A190" s="11" t="s">
        <v>64</v>
      </c>
      <c r="B190" s="8" t="s">
        <v>592</v>
      </c>
      <c r="C190" s="8" t="s">
        <v>111</v>
      </c>
      <c r="D190" s="8" t="s">
        <v>111</v>
      </c>
      <c r="E190" s="8" t="s">
        <v>111</v>
      </c>
      <c r="F190" s="8"/>
      <c r="G190" s="8"/>
      <c r="H190" s="10"/>
      <c r="I190" s="9">
        <v>6564</v>
      </c>
      <c r="J190" s="8" t="s">
        <v>112</v>
      </c>
      <c r="K190" s="9">
        <f>SUM(B190:I191)</f>
        <v>107495</v>
      </c>
      <c r="L190" s="3"/>
      <c r="M190" s="3"/>
    </row>
    <row r="191" spans="1:13">
      <c r="A191" s="9"/>
      <c r="B191" s="10">
        <v>37464</v>
      </c>
      <c r="C191" s="10">
        <v>51763</v>
      </c>
      <c r="D191" s="10">
        <v>4144</v>
      </c>
      <c r="E191" s="10">
        <v>7560</v>
      </c>
      <c r="F191" s="10"/>
      <c r="G191" s="10"/>
      <c r="H191" s="10"/>
      <c r="I191" s="9"/>
      <c r="J191" s="9"/>
      <c r="K191" s="9"/>
      <c r="L191" s="3"/>
      <c r="M191" s="3"/>
    </row>
    <row r="192" spans="1:13">
      <c r="A192" s="9"/>
      <c r="B192" s="10"/>
      <c r="C192" s="10"/>
      <c r="D192" s="10"/>
      <c r="E192" s="10"/>
      <c r="F192" s="10"/>
      <c r="G192" s="10"/>
      <c r="H192" s="10"/>
      <c r="I192" s="9"/>
      <c r="J192" s="9"/>
      <c r="K192" s="9"/>
      <c r="L192" s="3"/>
      <c r="M192" s="3"/>
    </row>
    <row r="193" spans="1:13">
      <c r="A193" s="38" t="s">
        <v>91</v>
      </c>
      <c r="B193" s="40" t="s">
        <v>505</v>
      </c>
      <c r="C193" s="40" t="s">
        <v>506</v>
      </c>
      <c r="D193" s="40" t="s">
        <v>506</v>
      </c>
      <c r="E193" s="40" t="s">
        <v>506</v>
      </c>
      <c r="F193" s="40" t="s">
        <v>506</v>
      </c>
      <c r="G193" s="40"/>
      <c r="H193" s="40"/>
      <c r="I193" s="38">
        <v>4778</v>
      </c>
      <c r="J193" s="40" t="s">
        <v>507</v>
      </c>
      <c r="K193" s="9">
        <f>SUM(B193:I194)</f>
        <v>92261</v>
      </c>
      <c r="L193" s="3"/>
      <c r="M193" s="3"/>
    </row>
    <row r="194" spans="1:13">
      <c r="A194" s="38"/>
      <c r="B194" s="40">
        <v>28386</v>
      </c>
      <c r="C194" s="40">
        <v>46940</v>
      </c>
      <c r="D194" s="40">
        <v>3401</v>
      </c>
      <c r="E194" s="40">
        <v>6890</v>
      </c>
      <c r="F194" s="40">
        <v>1866</v>
      </c>
      <c r="G194" s="40"/>
      <c r="H194" s="40"/>
      <c r="I194" s="38"/>
      <c r="J194" s="38"/>
      <c r="K194" s="9"/>
      <c r="L194" s="3"/>
      <c r="M194" s="3"/>
    </row>
    <row r="195" spans="1:13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9"/>
      <c r="L195" s="3"/>
      <c r="M195" s="3"/>
    </row>
    <row r="196" spans="1:13">
      <c r="A196" s="11" t="s">
        <v>66</v>
      </c>
      <c r="B196" s="3"/>
      <c r="C196" s="3"/>
      <c r="D196" s="3"/>
      <c r="E196" s="3"/>
      <c r="F196" s="3"/>
      <c r="G196" s="3"/>
      <c r="H196" s="3"/>
      <c r="I196" s="3"/>
      <c r="J196" s="3"/>
      <c r="K196" s="9"/>
      <c r="L196" s="3"/>
      <c r="M196" s="3"/>
    </row>
    <row r="197" spans="1:13">
      <c r="A197" s="16" t="s">
        <v>593</v>
      </c>
      <c r="B197" s="15"/>
      <c r="C197" s="15"/>
      <c r="D197" s="15"/>
      <c r="E197" s="3"/>
      <c r="F197" s="3"/>
      <c r="G197" s="3"/>
      <c r="H197" s="3"/>
      <c r="I197" s="3"/>
      <c r="J197" s="3"/>
      <c r="K197" s="9"/>
      <c r="L197" s="3"/>
      <c r="M197" s="3"/>
    </row>
    <row r="198" spans="1:13">
      <c r="A198" s="16" t="s">
        <v>594</v>
      </c>
      <c r="B198" s="15"/>
      <c r="C198" s="15"/>
      <c r="D198" s="15"/>
      <c r="E198" s="3"/>
      <c r="F198" s="3"/>
      <c r="G198" s="3"/>
      <c r="H198" s="3"/>
      <c r="I198" s="3"/>
      <c r="J198" s="3"/>
      <c r="K198" s="9"/>
      <c r="L198" s="3"/>
      <c r="M198" s="3"/>
    </row>
    <row r="199" spans="1:13">
      <c r="A199" s="17" t="s">
        <v>595</v>
      </c>
      <c r="B199" s="15"/>
      <c r="C199" s="15"/>
      <c r="D199" s="3"/>
      <c r="E199" s="3"/>
      <c r="F199" s="3"/>
      <c r="G199" s="3"/>
      <c r="H199" s="3"/>
      <c r="I199" s="3"/>
      <c r="J199" s="3"/>
      <c r="K199" s="9"/>
      <c r="L199" s="3"/>
      <c r="M199" s="3"/>
    </row>
    <row r="200" spans="1:13">
      <c r="A200" s="17" t="s">
        <v>596</v>
      </c>
      <c r="B200" s="15"/>
      <c r="C200" s="15"/>
      <c r="D200" s="3"/>
      <c r="E200" s="3"/>
      <c r="F200" s="3"/>
      <c r="G200" s="3"/>
      <c r="H200" s="3"/>
      <c r="I200" s="3"/>
      <c r="J200" s="3"/>
      <c r="K200" s="9"/>
      <c r="L200" s="3"/>
      <c r="M200" s="3"/>
    </row>
    <row r="201" spans="1:13">
      <c r="A201" s="16" t="s">
        <v>597</v>
      </c>
      <c r="B201" s="15"/>
      <c r="C201" s="15"/>
      <c r="D201" s="15"/>
      <c r="E201" s="3"/>
      <c r="F201" s="3"/>
      <c r="G201" s="3"/>
      <c r="H201" s="3"/>
      <c r="I201" s="3"/>
      <c r="J201" s="3"/>
      <c r="K201" s="9"/>
      <c r="L201" s="3"/>
      <c r="M201" s="3"/>
    </row>
    <row r="202" spans="1:13">
      <c r="A202" s="17" t="s">
        <v>134</v>
      </c>
      <c r="B202" s="15"/>
      <c r="C202" s="15"/>
      <c r="D202" s="15"/>
      <c r="E202" s="3"/>
      <c r="F202" s="3"/>
      <c r="G202" s="3"/>
      <c r="H202" s="3"/>
      <c r="I202" s="3"/>
      <c r="J202" s="3"/>
      <c r="K202" s="9"/>
      <c r="L202" s="3"/>
      <c r="M202" s="3"/>
    </row>
    <row r="203" spans="1:13">
      <c r="A203" s="17" t="s">
        <v>598</v>
      </c>
      <c r="B203" s="15"/>
      <c r="C203" s="15"/>
      <c r="D203" s="3"/>
      <c r="E203" s="3"/>
      <c r="F203" s="3"/>
      <c r="G203" s="3"/>
      <c r="H203" s="3"/>
      <c r="I203" s="3"/>
      <c r="J203" s="3"/>
      <c r="K203" s="9"/>
      <c r="L203" s="3"/>
      <c r="M203" s="3"/>
    </row>
    <row r="204" spans="1:13">
      <c r="A204" s="9"/>
      <c r="B204" s="3"/>
      <c r="C204" s="3"/>
      <c r="D204" s="3"/>
      <c r="E204" s="3"/>
      <c r="F204" s="3"/>
      <c r="G204" s="3"/>
      <c r="H204" s="3"/>
      <c r="I204" s="3"/>
      <c r="J204" s="3"/>
      <c r="K204" s="9"/>
      <c r="L204" s="3"/>
      <c r="M204" s="3"/>
    </row>
    <row r="205" spans="1:13">
      <c r="A205" s="72" t="s">
        <v>510</v>
      </c>
      <c r="B205" s="3"/>
      <c r="C205" s="3"/>
      <c r="D205" s="3"/>
      <c r="E205" s="3"/>
      <c r="F205" s="3"/>
      <c r="G205" s="3"/>
      <c r="H205" s="3"/>
      <c r="I205" s="3"/>
      <c r="J205" s="3"/>
      <c r="K205" s="9"/>
      <c r="L205" s="3"/>
      <c r="M205" s="3"/>
    </row>
    <row r="206" spans="1:13">
      <c r="A206" s="9"/>
      <c r="B206" s="3"/>
      <c r="C206" s="3"/>
      <c r="D206" s="3"/>
      <c r="E206" s="3"/>
      <c r="F206" s="3"/>
      <c r="G206" s="3"/>
      <c r="H206" s="3"/>
      <c r="I206" s="3"/>
      <c r="J206" s="3"/>
      <c r="K206" s="9"/>
      <c r="L206" s="3"/>
      <c r="M206" s="3"/>
    </row>
    <row r="207" spans="1:13">
      <c r="A207" s="9"/>
      <c r="B207" s="3"/>
      <c r="C207" s="3"/>
      <c r="D207" s="3"/>
      <c r="E207" s="3"/>
      <c r="F207" s="3"/>
      <c r="G207" s="3"/>
      <c r="H207" s="3"/>
      <c r="I207" s="3"/>
      <c r="J207" s="3"/>
      <c r="K207" s="9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9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9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9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9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9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</sheetData>
  <hyperlinks>
    <hyperlink ref="A205" r:id="rId1"/>
  </hyperlinks>
  <pageMargins left="0.7" right="0.7" top="0.75" bottom="0.75" header="0.3" footer="0.3"/>
  <pageSetup scale="62" fitToHeight="5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"/>
  <sheetViews>
    <sheetView workbookViewId="0"/>
  </sheetViews>
  <sheetFormatPr defaultColWidth="15.77734375" defaultRowHeight="15.75"/>
  <cols>
    <col min="1" max="1" width="17.77734375" customWidth="1"/>
    <col min="9" max="9" width="25.77734375" customWidth="1"/>
  </cols>
  <sheetData>
    <row r="1" spans="1:13" ht="20.25">
      <c r="A1" s="29" t="s">
        <v>0</v>
      </c>
      <c r="B1" s="5"/>
      <c r="C1" s="5"/>
      <c r="D1" s="5"/>
      <c r="E1" s="5"/>
      <c r="F1" s="5"/>
      <c r="G1" s="4"/>
      <c r="H1" s="3"/>
      <c r="I1" s="3"/>
      <c r="J1" s="3"/>
      <c r="K1" s="3"/>
      <c r="L1" s="3"/>
      <c r="M1" s="3"/>
    </row>
    <row r="2" spans="1:13" ht="20.25">
      <c r="A2" s="30" t="s">
        <v>678</v>
      </c>
      <c r="B2" s="5"/>
      <c r="C2" s="5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9.25">
      <c r="A4" s="31" t="s">
        <v>1</v>
      </c>
      <c r="B4" s="32" t="s">
        <v>73</v>
      </c>
      <c r="C4" s="33" t="s">
        <v>2</v>
      </c>
      <c r="D4" s="33" t="s">
        <v>80</v>
      </c>
      <c r="E4" s="33" t="s">
        <v>101</v>
      </c>
      <c r="F4" s="34" t="s">
        <v>196</v>
      </c>
      <c r="G4" s="33" t="s">
        <v>195</v>
      </c>
      <c r="H4" s="35" t="s">
        <v>197</v>
      </c>
      <c r="I4" s="33" t="s">
        <v>3</v>
      </c>
      <c r="J4" s="3"/>
      <c r="K4" s="3"/>
      <c r="L4" s="3"/>
      <c r="M4" s="3"/>
    </row>
    <row r="5" spans="1:13">
      <c r="A5" s="3"/>
      <c r="B5" s="6"/>
      <c r="C5" s="6"/>
      <c r="D5" s="6"/>
      <c r="E5" s="6"/>
      <c r="F5" s="6"/>
      <c r="G5" s="6"/>
      <c r="H5" s="6"/>
      <c r="I5" s="3"/>
      <c r="J5" s="3"/>
      <c r="K5" s="3"/>
      <c r="L5" s="3"/>
      <c r="M5" s="3"/>
    </row>
    <row r="6" spans="1:13">
      <c r="A6" s="7" t="s">
        <v>4</v>
      </c>
      <c r="B6" s="8"/>
      <c r="C6" s="8" t="s">
        <v>113</v>
      </c>
      <c r="D6" s="8" t="s">
        <v>113</v>
      </c>
      <c r="E6" s="8" t="s">
        <v>74</v>
      </c>
      <c r="F6" s="8"/>
      <c r="G6" s="8"/>
      <c r="H6" s="9">
        <v>80724</v>
      </c>
      <c r="I6" s="8" t="s">
        <v>114</v>
      </c>
      <c r="J6" s="9">
        <f>SUM(B6:H7)</f>
        <v>161786</v>
      </c>
      <c r="K6" s="3"/>
      <c r="L6" s="3"/>
      <c r="M6" s="3"/>
    </row>
    <row r="7" spans="1:13">
      <c r="A7" s="3"/>
      <c r="B7" s="10"/>
      <c r="C7" s="10">
        <v>63058</v>
      </c>
      <c r="D7" s="10">
        <v>9832</v>
      </c>
      <c r="E7" s="10">
        <v>8172</v>
      </c>
      <c r="F7" s="10"/>
      <c r="G7" s="10"/>
      <c r="H7" s="9"/>
      <c r="I7" s="11"/>
      <c r="J7" s="3"/>
      <c r="K7" s="3"/>
      <c r="L7" s="3"/>
      <c r="M7" s="3"/>
    </row>
    <row r="8" spans="1:13">
      <c r="A8" s="3"/>
      <c r="B8" s="9"/>
      <c r="C8" s="9"/>
      <c r="D8" s="9"/>
      <c r="E8" s="9"/>
      <c r="F8" s="9"/>
      <c r="G8" s="9"/>
      <c r="H8" s="9"/>
      <c r="I8" s="9"/>
      <c r="J8" s="3"/>
      <c r="K8" s="3"/>
      <c r="L8" s="3"/>
      <c r="M8" s="3"/>
    </row>
    <row r="9" spans="1:13">
      <c r="A9" s="36" t="s">
        <v>6</v>
      </c>
      <c r="B9" s="37" t="s">
        <v>603</v>
      </c>
      <c r="C9" s="37" t="s">
        <v>81</v>
      </c>
      <c r="D9" s="37" t="s">
        <v>81</v>
      </c>
      <c r="E9" s="37" t="s">
        <v>81</v>
      </c>
      <c r="F9" s="37"/>
      <c r="G9" s="37"/>
      <c r="H9" s="38">
        <v>27322</v>
      </c>
      <c r="I9" s="37" t="s">
        <v>82</v>
      </c>
      <c r="J9" s="9">
        <f>SUM(B9:H10)</f>
        <v>153636</v>
      </c>
      <c r="K9" s="3"/>
      <c r="L9" s="3"/>
      <c r="M9" s="3"/>
    </row>
    <row r="10" spans="1:13">
      <c r="A10" s="39"/>
      <c r="B10" s="40">
        <v>43337</v>
      </c>
      <c r="C10" s="40">
        <v>68401</v>
      </c>
      <c r="D10" s="40">
        <v>6728</v>
      </c>
      <c r="E10" s="40">
        <v>7848</v>
      </c>
      <c r="F10" s="40"/>
      <c r="G10" s="40"/>
      <c r="H10" s="38"/>
      <c r="I10" s="41"/>
      <c r="J10" s="3"/>
      <c r="K10" s="3"/>
      <c r="L10" s="3"/>
      <c r="M10" s="3"/>
    </row>
    <row r="11" spans="1:13">
      <c r="A11" s="3"/>
      <c r="B11" s="9"/>
      <c r="C11" s="9"/>
      <c r="D11" s="9"/>
      <c r="E11" s="9"/>
      <c r="F11" s="9"/>
      <c r="G11" s="9"/>
      <c r="H11" s="9"/>
      <c r="I11" s="9"/>
      <c r="J11" s="3"/>
      <c r="K11" s="3"/>
      <c r="L11" s="3"/>
      <c r="M11" s="3"/>
    </row>
    <row r="12" spans="1:13">
      <c r="A12" s="7" t="s">
        <v>7</v>
      </c>
      <c r="B12" s="8" t="s">
        <v>518</v>
      </c>
      <c r="C12" s="8" t="s">
        <v>604</v>
      </c>
      <c r="D12" s="8" t="s">
        <v>604</v>
      </c>
      <c r="E12" s="8" t="s">
        <v>605</v>
      </c>
      <c r="F12" s="8" t="s">
        <v>518</v>
      </c>
      <c r="G12" s="8"/>
      <c r="H12" s="9">
        <v>13717</v>
      </c>
      <c r="I12" s="8" t="s">
        <v>606</v>
      </c>
      <c r="J12" s="9">
        <f>SUM(B12:H13)</f>
        <v>127955</v>
      </c>
      <c r="K12" s="3"/>
      <c r="L12" s="3"/>
      <c r="M12" s="3"/>
    </row>
    <row r="13" spans="1:13">
      <c r="A13" s="3"/>
      <c r="B13" s="10">
        <v>62106</v>
      </c>
      <c r="C13" s="10">
        <v>38336</v>
      </c>
      <c r="D13" s="10">
        <v>3394</v>
      </c>
      <c r="E13" s="10">
        <v>5028</v>
      </c>
      <c r="F13" s="10">
        <v>5374</v>
      </c>
      <c r="G13" s="10"/>
      <c r="H13" s="9"/>
      <c r="I13" s="11"/>
      <c r="J13" s="3"/>
      <c r="K13" s="3"/>
      <c r="L13" s="3"/>
      <c r="M13" s="3"/>
    </row>
    <row r="14" spans="1:13">
      <c r="A14" s="3"/>
      <c r="B14" s="9"/>
      <c r="C14" s="9"/>
      <c r="D14" s="9"/>
      <c r="E14" s="9"/>
      <c r="F14" s="9"/>
      <c r="G14" s="9"/>
      <c r="H14" s="9"/>
      <c r="I14" s="9"/>
      <c r="J14" s="3"/>
      <c r="K14" s="3"/>
      <c r="L14" s="3"/>
      <c r="M14" s="3"/>
    </row>
    <row r="15" spans="1:13">
      <c r="A15" s="36" t="s">
        <v>9</v>
      </c>
      <c r="B15" s="37" t="s">
        <v>607</v>
      </c>
      <c r="C15" s="37" t="s">
        <v>520</v>
      </c>
      <c r="D15" s="37" t="s">
        <v>482</v>
      </c>
      <c r="E15" s="37" t="s">
        <v>482</v>
      </c>
      <c r="F15" s="37" t="s">
        <v>679</v>
      </c>
      <c r="G15" s="37"/>
      <c r="H15" s="38">
        <v>27111</v>
      </c>
      <c r="I15" s="37" t="s">
        <v>521</v>
      </c>
      <c r="J15" s="9">
        <f>SUM(B15:H16)</f>
        <v>128793</v>
      </c>
      <c r="K15" s="3"/>
      <c r="L15" s="3"/>
      <c r="M15" s="3"/>
    </row>
    <row r="16" spans="1:13">
      <c r="A16" s="39"/>
      <c r="B16" s="40">
        <v>39456</v>
      </c>
      <c r="C16" s="40">
        <v>49222</v>
      </c>
      <c r="D16" s="40">
        <v>5114</v>
      </c>
      <c r="E16" s="40">
        <v>5671</v>
      </c>
      <c r="F16" s="40">
        <v>2219</v>
      </c>
      <c r="G16" s="40"/>
      <c r="H16" s="38"/>
      <c r="I16" s="41"/>
      <c r="J16" s="3"/>
      <c r="K16" s="3"/>
      <c r="L16" s="3"/>
      <c r="M16" s="3"/>
    </row>
    <row r="17" spans="1:13">
      <c r="A17" s="3"/>
      <c r="B17" s="9"/>
      <c r="C17" s="9"/>
      <c r="D17" s="9"/>
      <c r="E17" s="9"/>
      <c r="F17" s="9"/>
      <c r="G17" s="9"/>
      <c r="H17" s="9"/>
      <c r="I17" s="9"/>
      <c r="J17" s="3"/>
      <c r="K17" s="3"/>
      <c r="L17" s="3"/>
      <c r="M17" s="3"/>
    </row>
    <row r="18" spans="1:13">
      <c r="A18" s="7" t="s">
        <v>11</v>
      </c>
      <c r="B18" s="10" t="s">
        <v>608</v>
      </c>
      <c r="C18" s="10" t="s">
        <v>12</v>
      </c>
      <c r="D18" s="10" t="s">
        <v>12</v>
      </c>
      <c r="E18" s="10" t="s">
        <v>75</v>
      </c>
      <c r="F18" s="10"/>
      <c r="G18" s="10"/>
      <c r="H18" s="10">
        <v>24354</v>
      </c>
      <c r="I18" s="10" t="s">
        <v>13</v>
      </c>
      <c r="J18" s="9">
        <f>SUM(B18:H19)</f>
        <v>155129</v>
      </c>
      <c r="K18" s="3"/>
      <c r="L18" s="3"/>
      <c r="M18" s="3"/>
    </row>
    <row r="19" spans="1:13">
      <c r="A19" s="3"/>
      <c r="B19" s="10">
        <v>51130</v>
      </c>
      <c r="C19" s="10">
        <v>68311</v>
      </c>
      <c r="D19" s="10">
        <v>5744</v>
      </c>
      <c r="E19" s="10">
        <v>5590</v>
      </c>
      <c r="F19" s="10"/>
      <c r="G19" s="9"/>
      <c r="H19" s="9"/>
      <c r="I19" s="9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9"/>
      <c r="I20" s="9"/>
      <c r="J20" s="3"/>
      <c r="K20" s="3"/>
      <c r="L20" s="3"/>
      <c r="M20" s="3"/>
    </row>
    <row r="21" spans="1:13">
      <c r="A21" s="36" t="s">
        <v>15</v>
      </c>
      <c r="B21" s="40" t="s">
        <v>609</v>
      </c>
      <c r="C21" s="40" t="s">
        <v>16</v>
      </c>
      <c r="D21" s="40" t="s">
        <v>16</v>
      </c>
      <c r="E21" s="40" t="s">
        <v>76</v>
      </c>
      <c r="F21" s="40" t="s">
        <v>609</v>
      </c>
      <c r="G21" s="40"/>
      <c r="H21" s="40">
        <v>20816</v>
      </c>
      <c r="I21" s="40" t="s">
        <v>293</v>
      </c>
      <c r="J21" s="9">
        <f>SUM(B21:H22)</f>
        <v>138966</v>
      </c>
      <c r="K21" s="3"/>
      <c r="L21" s="3"/>
      <c r="M21" s="3"/>
    </row>
    <row r="22" spans="1:13">
      <c r="A22" s="39"/>
      <c r="B22" s="40">
        <v>55511</v>
      </c>
      <c r="C22" s="40">
        <v>52962</v>
      </c>
      <c r="D22" s="40">
        <v>3124</v>
      </c>
      <c r="E22" s="40">
        <v>4504</v>
      </c>
      <c r="F22" s="40">
        <v>2049</v>
      </c>
      <c r="G22" s="40"/>
      <c r="H22" s="38"/>
      <c r="I22" s="38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9"/>
      <c r="H23" s="9"/>
      <c r="I23" s="9"/>
      <c r="J23" s="3"/>
      <c r="K23" s="3"/>
      <c r="L23" s="3"/>
      <c r="M23" s="3"/>
    </row>
    <row r="24" spans="1:13">
      <c r="A24" s="7" t="s">
        <v>18</v>
      </c>
      <c r="B24" s="8" t="s">
        <v>482</v>
      </c>
      <c r="C24" s="8" t="s">
        <v>610</v>
      </c>
      <c r="D24" s="8" t="s">
        <v>610</v>
      </c>
      <c r="E24" s="8" t="s">
        <v>610</v>
      </c>
      <c r="F24" s="8"/>
      <c r="G24" s="10"/>
      <c r="H24" s="10">
        <v>22929</v>
      </c>
      <c r="I24" s="8" t="s">
        <v>611</v>
      </c>
      <c r="J24" s="9">
        <f>SUM(B24:H25)</f>
        <v>143225</v>
      </c>
      <c r="K24" s="3"/>
      <c r="L24" s="3"/>
      <c r="M24" s="3"/>
    </row>
    <row r="25" spans="1:13">
      <c r="A25" s="3"/>
      <c r="B25" s="10">
        <v>68172</v>
      </c>
      <c r="C25" s="10">
        <v>45980</v>
      </c>
      <c r="D25" s="10">
        <v>2582</v>
      </c>
      <c r="E25" s="10">
        <v>3562</v>
      </c>
      <c r="F25" s="10"/>
      <c r="G25" s="10"/>
      <c r="H25" s="9"/>
      <c r="I25" s="11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9"/>
      <c r="I26" s="9"/>
      <c r="J26" s="3"/>
      <c r="K26" s="3"/>
      <c r="L26" s="3"/>
      <c r="M26" s="3"/>
    </row>
    <row r="27" spans="1:13">
      <c r="A27" s="36" t="s">
        <v>21</v>
      </c>
      <c r="B27" s="37" t="s">
        <v>454</v>
      </c>
      <c r="C27" s="37" t="s">
        <v>455</v>
      </c>
      <c r="D27" s="37" t="s">
        <v>455</v>
      </c>
      <c r="E27" s="37" t="s">
        <v>455</v>
      </c>
      <c r="F27" s="37" t="s">
        <v>454</v>
      </c>
      <c r="G27" s="37"/>
      <c r="H27" s="40">
        <v>22521</v>
      </c>
      <c r="I27" s="37" t="s">
        <v>457</v>
      </c>
      <c r="J27" s="9">
        <f>SUM(B27:H28)</f>
        <v>145387</v>
      </c>
      <c r="K27" s="3"/>
      <c r="L27" s="3"/>
      <c r="M27" s="3"/>
    </row>
    <row r="28" spans="1:13">
      <c r="A28" s="39"/>
      <c r="B28" s="40">
        <v>46825</v>
      </c>
      <c r="C28" s="40">
        <v>64406</v>
      </c>
      <c r="D28" s="40">
        <v>4720</v>
      </c>
      <c r="E28" s="40">
        <v>5248</v>
      </c>
      <c r="F28" s="40">
        <v>1667</v>
      </c>
      <c r="G28" s="40"/>
      <c r="H28" s="38"/>
      <c r="I28" s="41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9"/>
      <c r="H29" s="9"/>
      <c r="I29" s="9"/>
      <c r="J29" s="3"/>
      <c r="K29" s="3"/>
      <c r="L29" s="3"/>
      <c r="M29" s="3"/>
    </row>
    <row r="30" spans="1:13">
      <c r="A30" s="7" t="s">
        <v>23</v>
      </c>
      <c r="B30" s="8" t="s">
        <v>612</v>
      </c>
      <c r="C30" s="8" t="s">
        <v>378</v>
      </c>
      <c r="D30" s="8" t="s">
        <v>379</v>
      </c>
      <c r="E30" s="8" t="s">
        <v>379</v>
      </c>
      <c r="F30" s="8"/>
      <c r="G30" s="8"/>
      <c r="H30" s="10">
        <v>22602</v>
      </c>
      <c r="I30" s="8" t="s">
        <v>381</v>
      </c>
      <c r="J30" s="9">
        <f>SUM(B30:H31)</f>
        <v>150050</v>
      </c>
      <c r="K30" s="3"/>
      <c r="L30" s="3"/>
      <c r="M30" s="3"/>
    </row>
    <row r="31" spans="1:13">
      <c r="A31" s="3"/>
      <c r="B31" s="10">
        <v>45038</v>
      </c>
      <c r="C31" s="10">
        <v>72748</v>
      </c>
      <c r="D31" s="10">
        <v>5091</v>
      </c>
      <c r="E31" s="10">
        <v>4571</v>
      </c>
      <c r="F31" s="10"/>
      <c r="G31" s="10"/>
      <c r="H31" s="9"/>
      <c r="I31" s="11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9"/>
      <c r="J32" s="3"/>
      <c r="K32" s="3"/>
      <c r="L32" s="3"/>
      <c r="M32" s="3"/>
    </row>
    <row r="33" spans="1:13">
      <c r="A33" s="36" t="s">
        <v>24</v>
      </c>
      <c r="B33" s="37" t="s">
        <v>526</v>
      </c>
      <c r="C33" s="42"/>
      <c r="D33" s="37"/>
      <c r="E33" s="37"/>
      <c r="F33" s="37" t="s">
        <v>526</v>
      </c>
      <c r="G33" s="37"/>
      <c r="H33" s="40">
        <v>34565</v>
      </c>
      <c r="I33" s="37" t="s">
        <v>527</v>
      </c>
      <c r="J33" s="9">
        <f>SUM(B33:H34)</f>
        <v>106411</v>
      </c>
      <c r="K33" s="3"/>
      <c r="L33" s="3"/>
      <c r="M33" s="3"/>
    </row>
    <row r="34" spans="1:13">
      <c r="A34" s="39"/>
      <c r="B34" s="40">
        <v>69899</v>
      </c>
      <c r="C34" s="38"/>
      <c r="D34" s="40"/>
      <c r="E34" s="40"/>
      <c r="F34" s="40">
        <v>1947</v>
      </c>
      <c r="G34" s="40"/>
      <c r="H34" s="38"/>
      <c r="I34" s="41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9"/>
      <c r="I35" s="9"/>
      <c r="J35" s="3"/>
      <c r="K35" s="3"/>
      <c r="L35" s="3"/>
      <c r="M35" s="3"/>
    </row>
    <row r="36" spans="1:13">
      <c r="A36" s="3" t="s">
        <v>26</v>
      </c>
      <c r="B36" s="10" t="s">
        <v>613</v>
      </c>
      <c r="C36" s="10" t="s">
        <v>528</v>
      </c>
      <c r="D36" s="10" t="s">
        <v>528</v>
      </c>
      <c r="E36" s="10" t="s">
        <v>528</v>
      </c>
      <c r="F36" s="10" t="s">
        <v>613</v>
      </c>
      <c r="G36" s="10"/>
      <c r="H36" s="9">
        <v>12895</v>
      </c>
      <c r="I36" s="8" t="s">
        <v>614</v>
      </c>
      <c r="J36" s="9">
        <f>SUM(B36:H37)</f>
        <v>103000</v>
      </c>
      <c r="K36" s="3"/>
      <c r="L36" s="3"/>
      <c r="M36" s="3"/>
    </row>
    <row r="37" spans="1:13">
      <c r="A37" s="7"/>
      <c r="B37" s="11">
        <v>43330</v>
      </c>
      <c r="C37" s="10">
        <v>39101</v>
      </c>
      <c r="D37" s="10">
        <v>3320</v>
      </c>
      <c r="E37" s="10">
        <v>2873</v>
      </c>
      <c r="F37" s="10">
        <v>1481</v>
      </c>
      <c r="G37" s="11"/>
      <c r="H37" s="9"/>
      <c r="I37" s="11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9"/>
      <c r="I38" s="9"/>
      <c r="J38" s="3"/>
      <c r="K38" s="3"/>
      <c r="L38" s="3"/>
      <c r="M38" s="3"/>
    </row>
    <row r="39" spans="1:13">
      <c r="A39" s="39" t="s">
        <v>28</v>
      </c>
      <c r="B39" s="40" t="s">
        <v>615</v>
      </c>
      <c r="C39" s="40" t="s">
        <v>616</v>
      </c>
      <c r="D39" s="40" t="s">
        <v>616</v>
      </c>
      <c r="E39" s="40" t="s">
        <v>616</v>
      </c>
      <c r="F39" s="40"/>
      <c r="G39" s="40"/>
      <c r="H39" s="38">
        <v>23112</v>
      </c>
      <c r="I39" s="37" t="s">
        <v>617</v>
      </c>
      <c r="J39" s="9">
        <f>SUM(B39:H40)</f>
        <v>87978</v>
      </c>
      <c r="K39" s="3"/>
      <c r="L39" s="3"/>
      <c r="M39" s="3"/>
    </row>
    <row r="40" spans="1:13">
      <c r="A40" s="36"/>
      <c r="B40" s="40">
        <v>52667</v>
      </c>
      <c r="C40" s="38">
        <v>10488</v>
      </c>
      <c r="D40" s="40">
        <v>895</v>
      </c>
      <c r="E40" s="40">
        <v>816</v>
      </c>
      <c r="F40" s="40"/>
      <c r="G40" s="40"/>
      <c r="H40" s="38"/>
      <c r="I40" s="41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9"/>
      <c r="J41" s="3"/>
      <c r="K41" s="3"/>
      <c r="L41" s="3"/>
      <c r="M41" s="3"/>
    </row>
    <row r="42" spans="1:13">
      <c r="A42" s="3" t="s">
        <v>29</v>
      </c>
      <c r="B42" s="10" t="s">
        <v>618</v>
      </c>
      <c r="C42" s="10"/>
      <c r="D42" s="10"/>
      <c r="E42" s="10"/>
      <c r="F42" s="10" t="s">
        <v>618</v>
      </c>
      <c r="G42" s="10"/>
      <c r="H42" s="9">
        <v>21387</v>
      </c>
      <c r="I42" s="8" t="s">
        <v>619</v>
      </c>
      <c r="J42" s="9">
        <f>SUM(B42:H43)</f>
        <v>63235</v>
      </c>
      <c r="K42" s="3"/>
      <c r="L42" s="3"/>
      <c r="M42" s="3"/>
    </row>
    <row r="43" spans="1:13">
      <c r="A43" s="7"/>
      <c r="B43" s="10">
        <v>40404</v>
      </c>
      <c r="C43" s="9"/>
      <c r="D43" s="10"/>
      <c r="E43" s="10"/>
      <c r="F43" s="10">
        <v>1444</v>
      </c>
      <c r="G43" s="10"/>
      <c r="H43" s="9"/>
      <c r="I43" s="11"/>
      <c r="J43" s="3"/>
      <c r="K43" s="3"/>
      <c r="L43" s="3"/>
      <c r="M43" s="3"/>
    </row>
    <row r="44" spans="1:13" s="68" customFormat="1">
      <c r="A44" s="7"/>
      <c r="B44" s="10"/>
      <c r="C44" s="9"/>
      <c r="D44" s="10"/>
      <c r="E44" s="10"/>
      <c r="F44" s="10"/>
      <c r="G44" s="10"/>
      <c r="H44" s="9"/>
      <c r="I44" s="11"/>
      <c r="J44" s="3"/>
      <c r="K44" s="3"/>
      <c r="L44" s="3"/>
      <c r="M44" s="3"/>
    </row>
    <row r="45" spans="1:13" s="68" customFormat="1" ht="17.25">
      <c r="A45" s="3" t="s">
        <v>1274</v>
      </c>
      <c r="B45" s="10" t="s">
        <v>119</v>
      </c>
      <c r="C45" s="10" t="s">
        <v>1275</v>
      </c>
      <c r="D45" s="10"/>
      <c r="E45" s="10"/>
      <c r="F45" s="10" t="s">
        <v>119</v>
      </c>
      <c r="G45" s="10" t="s">
        <v>1276</v>
      </c>
      <c r="H45" s="10">
        <f>102+4</f>
        <v>106</v>
      </c>
      <c r="I45" s="8" t="s">
        <v>305</v>
      </c>
      <c r="J45" s="9">
        <f>SUM(B45:H46)</f>
        <v>15828</v>
      </c>
      <c r="K45" s="3"/>
      <c r="L45" s="3"/>
      <c r="M45" s="3"/>
    </row>
    <row r="46" spans="1:13" s="68" customFormat="1">
      <c r="A46" s="7"/>
      <c r="B46" s="10">
        <v>9174</v>
      </c>
      <c r="C46" s="9">
        <v>1162</v>
      </c>
      <c r="D46" s="10"/>
      <c r="E46" s="10"/>
      <c r="F46" s="10">
        <v>1163</v>
      </c>
      <c r="G46" s="10">
        <v>4223</v>
      </c>
      <c r="H46" s="9"/>
      <c r="I46" s="11"/>
      <c r="J46" s="3"/>
      <c r="K46" s="3"/>
      <c r="L46" s="3"/>
      <c r="M46" s="3"/>
    </row>
    <row r="47" spans="1:13">
      <c r="A47" s="7"/>
      <c r="B47" s="3"/>
      <c r="C47" s="3"/>
      <c r="D47" s="3"/>
      <c r="E47" s="3"/>
      <c r="F47" s="3"/>
      <c r="G47" s="3"/>
      <c r="H47" s="9"/>
      <c r="I47" s="11"/>
      <c r="J47" s="3"/>
      <c r="K47" s="3"/>
      <c r="L47" s="3"/>
      <c r="M47" s="3"/>
    </row>
    <row r="48" spans="1:13">
      <c r="A48" s="39" t="s">
        <v>32</v>
      </c>
      <c r="B48" s="37" t="s">
        <v>462</v>
      </c>
      <c r="C48" s="37"/>
      <c r="D48" s="37"/>
      <c r="E48" s="37"/>
      <c r="F48" s="37" t="s">
        <v>462</v>
      </c>
      <c r="G48" s="37"/>
      <c r="H48" s="38">
        <v>35711</v>
      </c>
      <c r="I48" s="40" t="s">
        <v>463</v>
      </c>
      <c r="J48" s="9">
        <f>SUM(B48:H49)</f>
        <v>108596</v>
      </c>
      <c r="K48" s="3"/>
      <c r="L48" s="3"/>
      <c r="M48" s="3"/>
    </row>
    <row r="49" spans="1:13">
      <c r="A49" s="39"/>
      <c r="B49" s="40">
        <v>70856</v>
      </c>
      <c r="C49" s="38"/>
      <c r="D49" s="40"/>
      <c r="E49" s="40"/>
      <c r="F49" s="40">
        <v>2029</v>
      </c>
      <c r="G49" s="38"/>
      <c r="H49" s="38"/>
      <c r="I49" s="41"/>
      <c r="J49" s="3"/>
      <c r="K49" s="3"/>
      <c r="L49" s="3"/>
      <c r="M49" s="3"/>
    </row>
    <row r="50" spans="1:13">
      <c r="A50" s="7"/>
      <c r="B50" s="3"/>
      <c r="C50" s="3"/>
      <c r="D50" s="3"/>
      <c r="E50" s="3"/>
      <c r="F50" s="3"/>
      <c r="G50" s="3"/>
      <c r="H50" s="9"/>
      <c r="I50" s="11"/>
      <c r="J50" s="3"/>
      <c r="K50" s="3"/>
      <c r="L50" s="3"/>
      <c r="M50" s="3"/>
    </row>
    <row r="51" spans="1:13">
      <c r="A51" s="3" t="s">
        <v>33</v>
      </c>
      <c r="B51" s="8" t="s">
        <v>107</v>
      </c>
      <c r="C51" s="8" t="s">
        <v>620</v>
      </c>
      <c r="D51" s="8" t="s">
        <v>620</v>
      </c>
      <c r="E51" s="8" t="s">
        <v>621</v>
      </c>
      <c r="F51" s="8" t="s">
        <v>107</v>
      </c>
      <c r="G51" s="10"/>
      <c r="H51" s="9">
        <v>11855</v>
      </c>
      <c r="I51" s="10" t="s">
        <v>108</v>
      </c>
      <c r="J51" s="9">
        <f>SUM(B51:H52)</f>
        <v>85185</v>
      </c>
      <c r="K51" s="3"/>
      <c r="L51" s="3"/>
      <c r="M51" s="3"/>
    </row>
    <row r="52" spans="1:13">
      <c r="A52" s="3"/>
      <c r="B52" s="9">
        <v>40067</v>
      </c>
      <c r="C52" s="9">
        <v>26618</v>
      </c>
      <c r="D52" s="10">
        <v>2014</v>
      </c>
      <c r="E52" s="10">
        <v>2396</v>
      </c>
      <c r="F52" s="10">
        <v>2235</v>
      </c>
      <c r="G52" s="10"/>
      <c r="H52" s="9"/>
      <c r="I52" s="11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11"/>
      <c r="J53" s="3"/>
      <c r="K53" s="3"/>
      <c r="L53" s="3"/>
      <c r="M53" s="3"/>
    </row>
    <row r="54" spans="1:13">
      <c r="A54" s="36" t="s">
        <v>35</v>
      </c>
      <c r="B54" s="37" t="s">
        <v>36</v>
      </c>
      <c r="C54" s="37" t="s">
        <v>622</v>
      </c>
      <c r="D54" s="37" t="s">
        <v>622</v>
      </c>
      <c r="E54" s="37" t="s">
        <v>622</v>
      </c>
      <c r="F54" s="37" t="s">
        <v>120</v>
      </c>
      <c r="G54" s="37"/>
      <c r="H54" s="38">
        <v>17983</v>
      </c>
      <c r="I54" s="37" t="s">
        <v>77</v>
      </c>
      <c r="J54" s="9">
        <f>SUM(B54:H55)</f>
        <v>91541</v>
      </c>
      <c r="K54" s="3"/>
      <c r="L54" s="3"/>
      <c r="M54" s="3"/>
    </row>
    <row r="55" spans="1:13">
      <c r="A55" s="39"/>
      <c r="B55" s="40">
        <v>49453</v>
      </c>
      <c r="C55" s="38">
        <v>19177</v>
      </c>
      <c r="D55" s="38">
        <v>1970</v>
      </c>
      <c r="E55" s="38">
        <v>1335</v>
      </c>
      <c r="F55" s="38">
        <v>1623</v>
      </c>
      <c r="G55" s="40"/>
      <c r="H55" s="38"/>
      <c r="I55" s="38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9"/>
      <c r="I56" s="11"/>
      <c r="J56" s="3"/>
      <c r="K56" s="3"/>
      <c r="L56" s="3"/>
      <c r="M56" s="3"/>
    </row>
    <row r="57" spans="1:13">
      <c r="A57" s="7" t="s">
        <v>38</v>
      </c>
      <c r="B57" s="8" t="s">
        <v>623</v>
      </c>
      <c r="C57" s="8" t="s">
        <v>624</v>
      </c>
      <c r="D57" s="3"/>
      <c r="E57" s="8" t="s">
        <v>624</v>
      </c>
      <c r="F57" s="8"/>
      <c r="G57" s="8"/>
      <c r="H57" s="9">
        <v>27286</v>
      </c>
      <c r="I57" s="8" t="s">
        <v>625</v>
      </c>
      <c r="J57" s="9">
        <f>SUM(B57:H58)</f>
        <v>89715</v>
      </c>
      <c r="K57" s="3"/>
      <c r="L57" s="3"/>
      <c r="M57" s="3"/>
    </row>
    <row r="58" spans="1:13">
      <c r="A58" s="3"/>
      <c r="B58" s="10">
        <v>57762</v>
      </c>
      <c r="C58" s="9">
        <v>4204</v>
      </c>
      <c r="D58" s="3"/>
      <c r="E58" s="10">
        <v>463</v>
      </c>
      <c r="F58" s="10"/>
      <c r="G58" s="11"/>
      <c r="H58" s="9"/>
      <c r="I58" s="9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9"/>
      <c r="I59" s="11"/>
      <c r="J59" s="3"/>
      <c r="K59" s="3"/>
      <c r="L59" s="3"/>
      <c r="M59" s="3"/>
    </row>
    <row r="60" spans="1:13">
      <c r="A60" s="36" t="s">
        <v>41</v>
      </c>
      <c r="B60" s="37" t="s">
        <v>534</v>
      </c>
      <c r="C60" s="37" t="s">
        <v>626</v>
      </c>
      <c r="D60" s="37"/>
      <c r="E60" s="37" t="s">
        <v>626</v>
      </c>
      <c r="F60" s="37" t="s">
        <v>121</v>
      </c>
      <c r="G60" s="37"/>
      <c r="H60" s="38">
        <v>30800</v>
      </c>
      <c r="I60" s="37" t="s">
        <v>42</v>
      </c>
      <c r="J60" s="38">
        <f>SUM(B60:H61)</f>
        <v>122419</v>
      </c>
      <c r="K60" s="3"/>
      <c r="L60" s="3"/>
      <c r="M60" s="3"/>
    </row>
    <row r="61" spans="1:13">
      <c r="A61" s="39"/>
      <c r="B61" s="40">
        <v>82617</v>
      </c>
      <c r="C61" s="40">
        <v>3075</v>
      </c>
      <c r="D61" s="38"/>
      <c r="E61" s="38">
        <v>407</v>
      </c>
      <c r="F61" s="38">
        <v>5520</v>
      </c>
      <c r="G61" s="40"/>
      <c r="H61" s="40"/>
      <c r="I61" s="38"/>
      <c r="J61" s="39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9"/>
      <c r="I62" s="9"/>
      <c r="J62" s="3"/>
      <c r="K62" s="3"/>
      <c r="L62" s="3"/>
      <c r="M62" s="3"/>
    </row>
    <row r="63" spans="1:13">
      <c r="A63" s="3" t="s">
        <v>45</v>
      </c>
      <c r="B63" s="10" t="s">
        <v>385</v>
      </c>
      <c r="C63" s="10" t="s">
        <v>627</v>
      </c>
      <c r="D63" s="10"/>
      <c r="E63" s="10" t="s">
        <v>627</v>
      </c>
      <c r="F63" s="10"/>
      <c r="G63" s="10"/>
      <c r="H63" s="9">
        <v>30696</v>
      </c>
      <c r="I63" s="8" t="s">
        <v>388</v>
      </c>
      <c r="J63" s="9">
        <f>SUM(B63:H64)</f>
        <v>104084</v>
      </c>
      <c r="K63" s="3"/>
      <c r="L63" s="3"/>
      <c r="M63" s="3"/>
    </row>
    <row r="64" spans="1:13">
      <c r="A64" s="7"/>
      <c r="B64" s="10">
        <v>69811</v>
      </c>
      <c r="C64" s="9">
        <v>2899</v>
      </c>
      <c r="D64" s="10"/>
      <c r="E64" s="10">
        <v>678</v>
      </c>
      <c r="F64" s="10"/>
      <c r="G64" s="11"/>
      <c r="H64" s="9"/>
      <c r="I64" s="11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9"/>
      <c r="H65" s="9"/>
      <c r="I65" s="9"/>
      <c r="J65" s="3"/>
      <c r="K65" s="3"/>
      <c r="L65" s="3"/>
      <c r="M65" s="3"/>
    </row>
    <row r="66" spans="1:13">
      <c r="A66" s="39" t="s">
        <v>47</v>
      </c>
      <c r="B66" s="40" t="s">
        <v>352</v>
      </c>
      <c r="C66" s="40" t="s">
        <v>628</v>
      </c>
      <c r="D66" s="40"/>
      <c r="E66" s="40" t="s">
        <v>628</v>
      </c>
      <c r="F66" s="40" t="s">
        <v>352</v>
      </c>
      <c r="G66" s="40"/>
      <c r="H66" s="38">
        <v>26535</v>
      </c>
      <c r="I66" s="37" t="s">
        <v>537</v>
      </c>
      <c r="J66" s="38">
        <f>SUM(B66:H67)</f>
        <v>111422</v>
      </c>
      <c r="K66" s="3"/>
      <c r="L66" s="3"/>
      <c r="M66" s="3"/>
    </row>
    <row r="67" spans="1:13">
      <c r="A67" s="36"/>
      <c r="B67" s="40">
        <v>73766</v>
      </c>
      <c r="C67" s="40">
        <v>5000</v>
      </c>
      <c r="D67" s="40"/>
      <c r="E67" s="40">
        <v>887</v>
      </c>
      <c r="F67" s="40">
        <v>5234</v>
      </c>
      <c r="G67" s="40"/>
      <c r="H67" s="38"/>
      <c r="I67" s="41"/>
      <c r="J67" s="39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11"/>
      <c r="H68" s="9"/>
      <c r="I68" s="9"/>
      <c r="J68" s="3"/>
      <c r="K68" s="3"/>
      <c r="L68" s="3"/>
      <c r="M68" s="3"/>
    </row>
    <row r="69" spans="1:13">
      <c r="A69" s="3" t="s">
        <v>49</v>
      </c>
      <c r="B69" s="10" t="s">
        <v>83</v>
      </c>
      <c r="C69" s="10" t="s">
        <v>629</v>
      </c>
      <c r="D69" s="10"/>
      <c r="E69" s="10" t="s">
        <v>629</v>
      </c>
      <c r="F69" s="10" t="s">
        <v>83</v>
      </c>
      <c r="G69" s="10"/>
      <c r="H69" s="9">
        <v>25302</v>
      </c>
      <c r="I69" s="8" t="s">
        <v>84</v>
      </c>
      <c r="J69" s="9">
        <f>SUM(B69:H70)</f>
        <v>93475</v>
      </c>
      <c r="K69" s="3"/>
      <c r="L69" s="3"/>
      <c r="M69" s="3"/>
    </row>
    <row r="70" spans="1:13">
      <c r="A70" s="7"/>
      <c r="B70" s="10">
        <v>59698</v>
      </c>
      <c r="C70" s="10">
        <v>5954</v>
      </c>
      <c r="D70" s="10"/>
      <c r="E70" s="10">
        <v>640</v>
      </c>
      <c r="F70" s="10">
        <v>1881</v>
      </c>
      <c r="G70" s="10"/>
      <c r="H70" s="9"/>
      <c r="I70" s="11"/>
      <c r="J70" s="3"/>
      <c r="K70" s="3"/>
      <c r="L70" s="3"/>
      <c r="M70" s="3"/>
    </row>
    <row r="71" spans="1:13">
      <c r="A71" s="7"/>
      <c r="B71" s="3"/>
      <c r="C71" s="3"/>
      <c r="D71" s="3"/>
      <c r="E71" s="3"/>
      <c r="F71" s="3"/>
      <c r="G71" s="3"/>
      <c r="H71" s="3"/>
      <c r="I71" s="11"/>
      <c r="J71" s="3"/>
      <c r="K71" s="3"/>
      <c r="L71" s="3"/>
      <c r="M71" s="3"/>
    </row>
    <row r="72" spans="1:13">
      <c r="A72" s="39" t="s">
        <v>52</v>
      </c>
      <c r="B72" s="37"/>
      <c r="C72" s="37" t="s">
        <v>85</v>
      </c>
      <c r="D72" s="37" t="s">
        <v>85</v>
      </c>
      <c r="E72" s="37" t="s">
        <v>85</v>
      </c>
      <c r="F72" s="37"/>
      <c r="G72" s="37"/>
      <c r="H72" s="38">
        <v>40567</v>
      </c>
      <c r="I72" s="40" t="s">
        <v>313</v>
      </c>
      <c r="J72" s="38">
        <f>SUM(B72:H73)</f>
        <v>83371</v>
      </c>
      <c r="K72" s="3"/>
      <c r="L72" s="3"/>
      <c r="M72" s="3"/>
    </row>
    <row r="73" spans="1:13">
      <c r="A73" s="39"/>
      <c r="B73" s="40"/>
      <c r="C73" s="40">
        <v>35453</v>
      </c>
      <c r="D73" s="40">
        <v>3815</v>
      </c>
      <c r="E73" s="40">
        <v>3536</v>
      </c>
      <c r="F73" s="40"/>
      <c r="G73" s="38"/>
      <c r="H73" s="38"/>
      <c r="I73" s="41"/>
      <c r="J73" s="39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9"/>
      <c r="I74" s="11"/>
      <c r="J74" s="3"/>
      <c r="K74" s="3"/>
      <c r="L74" s="3"/>
      <c r="M74" s="3"/>
    </row>
    <row r="75" spans="1:13">
      <c r="A75" s="7" t="s">
        <v>54</v>
      </c>
      <c r="B75" s="8" t="s">
        <v>93</v>
      </c>
      <c r="C75" s="8" t="s">
        <v>207</v>
      </c>
      <c r="D75" s="8" t="s">
        <v>207</v>
      </c>
      <c r="E75" s="8"/>
      <c r="F75" s="8" t="s">
        <v>93</v>
      </c>
      <c r="G75" s="8"/>
      <c r="H75" s="9">
        <v>21487</v>
      </c>
      <c r="I75" s="8" t="s">
        <v>94</v>
      </c>
      <c r="J75" s="9">
        <f>SUM(B75:H76)</f>
        <v>80494</v>
      </c>
      <c r="K75" s="3"/>
      <c r="L75" s="3"/>
      <c r="M75" s="3"/>
    </row>
    <row r="76" spans="1:13">
      <c r="A76" s="3"/>
      <c r="B76" s="10">
        <v>44260</v>
      </c>
      <c r="C76" s="10">
        <v>11721</v>
      </c>
      <c r="D76" s="10">
        <v>900</v>
      </c>
      <c r="E76" s="10"/>
      <c r="F76" s="10">
        <v>2126</v>
      </c>
      <c r="G76" s="9"/>
      <c r="H76" s="9"/>
      <c r="I76" s="9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9"/>
      <c r="I77" s="11"/>
      <c r="J77" s="3"/>
      <c r="K77" s="3"/>
      <c r="L77" s="3"/>
      <c r="M77" s="3"/>
    </row>
    <row r="78" spans="1:13">
      <c r="A78" s="36" t="s">
        <v>56</v>
      </c>
      <c r="B78" s="37" t="s">
        <v>630</v>
      </c>
      <c r="C78" s="37" t="s">
        <v>102</v>
      </c>
      <c r="D78" s="37" t="s">
        <v>102</v>
      </c>
      <c r="E78" s="37" t="s">
        <v>102</v>
      </c>
      <c r="F78" s="37"/>
      <c r="G78" s="37"/>
      <c r="H78" s="38">
        <v>16587</v>
      </c>
      <c r="I78" s="37" t="s">
        <v>103</v>
      </c>
      <c r="J78" s="9">
        <f>SUM(B78:H79)</f>
        <v>123971</v>
      </c>
      <c r="K78" s="3"/>
      <c r="L78" s="3"/>
      <c r="M78" s="3"/>
    </row>
    <row r="79" spans="1:13">
      <c r="A79" s="39"/>
      <c r="B79" s="40">
        <v>32013</v>
      </c>
      <c r="C79" s="40">
        <v>66211</v>
      </c>
      <c r="D79" s="40">
        <v>4456</v>
      </c>
      <c r="E79" s="40">
        <v>4704</v>
      </c>
      <c r="F79" s="40"/>
      <c r="G79" s="38"/>
      <c r="H79" s="38"/>
      <c r="I79" s="38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7" t="s">
        <v>58</v>
      </c>
      <c r="B81" s="8" t="s">
        <v>316</v>
      </c>
      <c r="C81" s="8" t="s">
        <v>631</v>
      </c>
      <c r="D81" s="8"/>
      <c r="E81" s="8"/>
      <c r="F81" s="8" t="s">
        <v>316</v>
      </c>
      <c r="G81" s="8"/>
      <c r="H81" s="9">
        <v>29828</v>
      </c>
      <c r="I81" s="8" t="s">
        <v>541</v>
      </c>
      <c r="J81" s="9">
        <f>SUM(B81:H82)</f>
        <v>123274</v>
      </c>
      <c r="K81" s="3"/>
      <c r="L81" s="3"/>
      <c r="M81" s="3"/>
    </row>
    <row r="82" spans="1:13">
      <c r="A82" s="3"/>
      <c r="B82" s="10">
        <v>75690</v>
      </c>
      <c r="C82" s="10">
        <v>12029</v>
      </c>
      <c r="D82" s="10"/>
      <c r="E82" s="10"/>
      <c r="F82" s="10">
        <v>5727</v>
      </c>
      <c r="G82" s="9"/>
      <c r="H82" s="9"/>
      <c r="I82" s="9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6" t="s">
        <v>59</v>
      </c>
      <c r="B84" s="37" t="s">
        <v>78</v>
      </c>
      <c r="C84" s="37" t="s">
        <v>432</v>
      </c>
      <c r="D84" s="37"/>
      <c r="E84" s="37"/>
      <c r="F84" s="37" t="s">
        <v>78</v>
      </c>
      <c r="G84" s="37"/>
      <c r="H84" s="38">
        <v>29257</v>
      </c>
      <c r="I84" s="37" t="s">
        <v>79</v>
      </c>
      <c r="J84" s="9">
        <f>SUM(B84:H85)</f>
        <v>151949</v>
      </c>
      <c r="K84" s="3"/>
      <c r="L84" s="3"/>
      <c r="M84" s="3"/>
    </row>
    <row r="85" spans="1:13">
      <c r="A85" s="39"/>
      <c r="B85" s="40">
        <v>89409</v>
      </c>
      <c r="C85" s="40">
        <v>30648</v>
      </c>
      <c r="D85" s="38"/>
      <c r="E85" s="43"/>
      <c r="F85" s="43">
        <v>2635</v>
      </c>
      <c r="G85" s="43"/>
      <c r="H85" s="43"/>
      <c r="I85" s="43"/>
      <c r="J85" s="24"/>
      <c r="K85" s="3"/>
      <c r="L85" s="3"/>
      <c r="M85" s="3"/>
    </row>
    <row r="86" spans="1:13">
      <c r="A86" s="3"/>
      <c r="B86" s="10"/>
      <c r="C86" s="10"/>
      <c r="D86" s="9"/>
      <c r="E86" s="23"/>
      <c r="F86" s="23"/>
      <c r="G86" s="23"/>
      <c r="H86" s="23"/>
      <c r="I86" s="23"/>
      <c r="J86" s="24"/>
      <c r="K86" s="3"/>
      <c r="L86" s="3"/>
      <c r="M86" s="3"/>
    </row>
    <row r="87" spans="1:13">
      <c r="A87" s="7" t="s">
        <v>63</v>
      </c>
      <c r="B87" s="8" t="s">
        <v>543</v>
      </c>
      <c r="C87" s="8"/>
      <c r="D87" s="8" t="s">
        <v>632</v>
      </c>
      <c r="E87" s="8"/>
      <c r="F87" s="8"/>
      <c r="G87" s="8"/>
      <c r="H87" s="9">
        <v>39500</v>
      </c>
      <c r="I87" s="8" t="s">
        <v>545</v>
      </c>
      <c r="J87" s="9">
        <f>SUM(B87:H88)</f>
        <v>84606</v>
      </c>
      <c r="K87" s="3"/>
      <c r="L87" s="3"/>
      <c r="M87" s="3"/>
    </row>
    <row r="88" spans="1:13">
      <c r="A88" s="3"/>
      <c r="B88" s="10">
        <v>42066</v>
      </c>
      <c r="C88" s="9"/>
      <c r="D88" s="9">
        <v>3040</v>
      </c>
      <c r="E88" s="9"/>
      <c r="F88" s="9"/>
      <c r="G88" s="11"/>
      <c r="H88" s="9"/>
      <c r="I88" s="9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9"/>
      <c r="I89" s="11"/>
      <c r="J89" s="3"/>
      <c r="K89" s="3"/>
      <c r="L89" s="3"/>
      <c r="M89" s="3"/>
    </row>
    <row r="90" spans="1:13">
      <c r="A90" s="36" t="s">
        <v>65</v>
      </c>
      <c r="B90" s="37" t="s">
        <v>95</v>
      </c>
      <c r="C90" s="37" t="s">
        <v>546</v>
      </c>
      <c r="D90" s="37"/>
      <c r="E90" s="37" t="s">
        <v>546</v>
      </c>
      <c r="F90" s="37" t="s">
        <v>95</v>
      </c>
      <c r="G90" s="40"/>
      <c r="H90" s="38">
        <v>24771</v>
      </c>
      <c r="I90" s="37" t="s">
        <v>109</v>
      </c>
      <c r="J90" s="38">
        <f>SUM(B90:H91)</f>
        <v>93372</v>
      </c>
      <c r="K90" s="3"/>
      <c r="L90" s="3"/>
      <c r="M90" s="3"/>
    </row>
    <row r="91" spans="1:13">
      <c r="A91" s="39"/>
      <c r="B91" s="40">
        <v>62092</v>
      </c>
      <c r="C91" s="38">
        <v>4384</v>
      </c>
      <c r="D91" s="40"/>
      <c r="E91" s="40">
        <v>429</v>
      </c>
      <c r="F91" s="40">
        <v>1696</v>
      </c>
      <c r="G91" s="40"/>
      <c r="H91" s="38"/>
      <c r="I91" s="38"/>
      <c r="J91" s="39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9"/>
      <c r="I92" s="11"/>
      <c r="J92" s="3"/>
      <c r="K92" s="3"/>
      <c r="L92" s="3"/>
      <c r="M92" s="3"/>
    </row>
    <row r="93" spans="1:13">
      <c r="A93" s="3" t="s">
        <v>67</v>
      </c>
      <c r="B93" s="10" t="s">
        <v>547</v>
      </c>
      <c r="C93" s="10" t="s">
        <v>633</v>
      </c>
      <c r="D93" s="10"/>
      <c r="E93" s="10"/>
      <c r="F93" s="10" t="s">
        <v>547</v>
      </c>
      <c r="G93" s="10"/>
      <c r="H93" s="9">
        <v>30456</v>
      </c>
      <c r="I93" s="8" t="s">
        <v>549</v>
      </c>
      <c r="J93" s="9">
        <f>SUM(B93:H94)</f>
        <v>163567</v>
      </c>
      <c r="K93" s="3"/>
      <c r="L93" s="3"/>
      <c r="M93" s="3"/>
    </row>
    <row r="94" spans="1:13">
      <c r="A94" s="3"/>
      <c r="B94" s="10">
        <v>107802</v>
      </c>
      <c r="C94" s="9">
        <v>19008</v>
      </c>
      <c r="D94" s="9"/>
      <c r="E94" s="9"/>
      <c r="F94" s="9">
        <v>6301</v>
      </c>
      <c r="G94" s="9"/>
      <c r="H94" s="9"/>
      <c r="I94" s="9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9"/>
      <c r="I95" s="9"/>
      <c r="J95" s="3"/>
      <c r="K95" s="3"/>
      <c r="L95" s="3"/>
      <c r="M95" s="3"/>
    </row>
    <row r="96" spans="1:13">
      <c r="A96" s="39" t="s">
        <v>68</v>
      </c>
      <c r="B96" s="40" t="s">
        <v>321</v>
      </c>
      <c r="C96" s="40"/>
      <c r="D96" s="40"/>
      <c r="E96" s="40"/>
      <c r="F96" s="40" t="s">
        <v>321</v>
      </c>
      <c r="G96" s="40"/>
      <c r="H96" s="38">
        <v>36349</v>
      </c>
      <c r="I96" s="40" t="s">
        <v>323</v>
      </c>
      <c r="J96" s="9">
        <f>SUM(B96:H97)</f>
        <v>132055</v>
      </c>
      <c r="K96" s="3"/>
      <c r="L96" s="3"/>
      <c r="M96" s="3"/>
    </row>
    <row r="97" spans="1:13">
      <c r="A97" s="39"/>
      <c r="B97" s="40">
        <v>91791</v>
      </c>
      <c r="C97" s="38"/>
      <c r="D97" s="40"/>
      <c r="E97" s="40"/>
      <c r="F97" s="40">
        <v>3915</v>
      </c>
      <c r="G97" s="38"/>
      <c r="H97" s="38"/>
      <c r="I97" s="38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11"/>
      <c r="H98" s="9"/>
      <c r="I98" s="9"/>
      <c r="J98" s="3"/>
      <c r="K98" s="3"/>
      <c r="L98" s="3"/>
      <c r="M98" s="3"/>
    </row>
    <row r="99" spans="1:13">
      <c r="A99" s="3" t="s">
        <v>69</v>
      </c>
      <c r="B99" s="10" t="s">
        <v>634</v>
      </c>
      <c r="C99" s="10" t="s">
        <v>480</v>
      </c>
      <c r="D99" s="10"/>
      <c r="E99" s="10" t="s">
        <v>635</v>
      </c>
      <c r="F99" s="10" t="s">
        <v>634</v>
      </c>
      <c r="G99" s="10"/>
      <c r="H99" s="9">
        <v>28182</v>
      </c>
      <c r="I99" s="10" t="s">
        <v>636</v>
      </c>
      <c r="J99" s="9">
        <f>SUM(B99:H100)</f>
        <v>118025</v>
      </c>
      <c r="K99" s="3"/>
      <c r="L99" s="3"/>
      <c r="M99" s="3"/>
    </row>
    <row r="100" spans="1:13">
      <c r="A100" s="3"/>
      <c r="B100" s="10">
        <v>76976</v>
      </c>
      <c r="C100" s="10">
        <v>8349</v>
      </c>
      <c r="D100" s="10"/>
      <c r="E100" s="10">
        <v>662</v>
      </c>
      <c r="F100" s="10">
        <v>3856</v>
      </c>
      <c r="G100" s="9"/>
      <c r="H100" s="9"/>
      <c r="I100" s="9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9"/>
      <c r="H101" s="9"/>
      <c r="I101" s="9"/>
      <c r="J101" s="3"/>
      <c r="K101" s="3"/>
      <c r="L101" s="3"/>
      <c r="M101" s="3"/>
    </row>
    <row r="102" spans="1:13">
      <c r="A102" s="39" t="s">
        <v>70</v>
      </c>
      <c r="B102" s="40" t="s">
        <v>481</v>
      </c>
      <c r="C102" s="40" t="s">
        <v>481</v>
      </c>
      <c r="D102" s="40"/>
      <c r="E102" s="40" t="s">
        <v>637</v>
      </c>
      <c r="F102" s="40"/>
      <c r="G102" s="40"/>
      <c r="H102" s="38">
        <v>21301</v>
      </c>
      <c r="I102" s="40" t="s">
        <v>553</v>
      </c>
      <c r="J102" s="9">
        <f>SUM(B102:H103)</f>
        <v>93600</v>
      </c>
      <c r="K102" s="3"/>
      <c r="L102" s="3"/>
      <c r="M102" s="3"/>
    </row>
    <row r="103" spans="1:13">
      <c r="A103" s="39"/>
      <c r="B103" s="40">
        <v>67268</v>
      </c>
      <c r="C103" s="40">
        <v>4113</v>
      </c>
      <c r="D103" s="40"/>
      <c r="E103" s="40">
        <v>918</v>
      </c>
      <c r="F103" s="40"/>
      <c r="G103" s="38"/>
      <c r="H103" s="38"/>
      <c r="I103" s="38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9"/>
      <c r="I104" s="9"/>
      <c r="J104" s="3"/>
      <c r="K104" s="3"/>
      <c r="L104" s="3"/>
      <c r="M104" s="3"/>
    </row>
    <row r="105" spans="1:13">
      <c r="A105" s="3" t="s">
        <v>71</v>
      </c>
      <c r="B105" s="10" t="s">
        <v>638</v>
      </c>
      <c r="C105" s="10"/>
      <c r="D105" s="10"/>
      <c r="E105" s="10" t="s">
        <v>220</v>
      </c>
      <c r="F105" s="10"/>
      <c r="G105" s="10"/>
      <c r="H105" s="9">
        <v>23305</v>
      </c>
      <c r="I105" s="10" t="s">
        <v>639</v>
      </c>
      <c r="J105" s="9">
        <f>SUM(B105:H106)</f>
        <v>76772</v>
      </c>
      <c r="K105" s="3"/>
      <c r="L105" s="3"/>
      <c r="M105" s="3"/>
    </row>
    <row r="106" spans="1:13">
      <c r="A106" s="3"/>
      <c r="B106" s="10">
        <v>52090</v>
      </c>
      <c r="C106" s="10"/>
      <c r="D106" s="10"/>
      <c r="E106" s="10">
        <v>1377</v>
      </c>
      <c r="F106" s="10"/>
      <c r="G106" s="9"/>
      <c r="H106" s="9"/>
      <c r="I106" s="9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41" t="s">
        <v>5</v>
      </c>
      <c r="B108" s="37" t="s">
        <v>96</v>
      </c>
      <c r="C108" s="37" t="s">
        <v>640</v>
      </c>
      <c r="D108" s="37" t="s">
        <v>96</v>
      </c>
      <c r="E108" s="37" t="s">
        <v>640</v>
      </c>
      <c r="F108" s="37" t="s">
        <v>96</v>
      </c>
      <c r="G108" s="37"/>
      <c r="H108" s="38">
        <v>17035</v>
      </c>
      <c r="I108" s="37" t="s">
        <v>329</v>
      </c>
      <c r="J108" s="9">
        <f>SUM(B108:H109)</f>
        <v>101519</v>
      </c>
      <c r="K108" s="3"/>
      <c r="L108" s="3"/>
      <c r="M108" s="3"/>
    </row>
    <row r="109" spans="1:13">
      <c r="A109" s="38"/>
      <c r="B109" s="38">
        <v>55813</v>
      </c>
      <c r="C109" s="40">
        <v>20151</v>
      </c>
      <c r="D109" s="40">
        <v>3642</v>
      </c>
      <c r="E109" s="40">
        <v>2471</v>
      </c>
      <c r="F109" s="40">
        <v>2407</v>
      </c>
      <c r="G109" s="40"/>
      <c r="H109" s="38"/>
      <c r="I109" s="41"/>
      <c r="J109" s="3"/>
      <c r="K109" s="3"/>
      <c r="L109" s="3"/>
      <c r="M109" s="3"/>
    </row>
    <row r="110" spans="1:13">
      <c r="A110" s="9"/>
      <c r="B110" s="3"/>
      <c r="C110" s="3"/>
      <c r="D110" s="3"/>
      <c r="E110" s="3"/>
      <c r="F110" s="3"/>
      <c r="G110" s="3"/>
      <c r="H110" s="9"/>
      <c r="I110" s="9"/>
      <c r="J110" s="3"/>
      <c r="K110" s="3"/>
      <c r="L110" s="3"/>
      <c r="M110" s="3"/>
    </row>
    <row r="111" spans="1:13">
      <c r="A111" s="11" t="s">
        <v>104</v>
      </c>
      <c r="B111" s="8" t="s">
        <v>97</v>
      </c>
      <c r="C111" s="8" t="s">
        <v>641</v>
      </c>
      <c r="D111" s="8" t="s">
        <v>641</v>
      </c>
      <c r="E111" s="8" t="s">
        <v>641</v>
      </c>
      <c r="F111" s="8" t="s">
        <v>97</v>
      </c>
      <c r="G111" s="8"/>
      <c r="H111" s="17">
        <v>15958</v>
      </c>
      <c r="I111" s="8" t="s">
        <v>105</v>
      </c>
      <c r="J111" s="9">
        <f>SUM(B111:H112)</f>
        <v>130709</v>
      </c>
      <c r="K111" s="3"/>
      <c r="L111" s="3"/>
      <c r="M111" s="3"/>
    </row>
    <row r="112" spans="1:13">
      <c r="A112" s="9"/>
      <c r="B112" s="17">
        <v>67648</v>
      </c>
      <c r="C112" s="14">
        <v>36739</v>
      </c>
      <c r="D112" s="14">
        <v>3623</v>
      </c>
      <c r="E112" s="14">
        <v>3578</v>
      </c>
      <c r="F112" s="14">
        <v>3163</v>
      </c>
      <c r="G112" s="14"/>
      <c r="H112" s="9"/>
      <c r="I112" s="11"/>
      <c r="J112" s="3"/>
      <c r="K112" s="3"/>
      <c r="L112" s="3"/>
      <c r="M112" s="3"/>
    </row>
    <row r="113" spans="1:13">
      <c r="A113" s="9"/>
      <c r="B113" s="3"/>
      <c r="C113" s="3"/>
      <c r="D113" s="3"/>
      <c r="E113" s="3"/>
      <c r="F113" s="3"/>
      <c r="G113" s="3"/>
      <c r="H113" s="9"/>
      <c r="I113" s="9"/>
      <c r="J113" s="3"/>
      <c r="K113" s="3"/>
      <c r="L113" s="3"/>
      <c r="M113" s="3"/>
    </row>
    <row r="114" spans="1:13">
      <c r="A114" s="41" t="s">
        <v>8</v>
      </c>
      <c r="B114" s="37" t="s">
        <v>401</v>
      </c>
      <c r="C114" s="37" t="s">
        <v>162</v>
      </c>
      <c r="D114" s="37"/>
      <c r="E114" s="37" t="s">
        <v>162</v>
      </c>
      <c r="F114" s="37" t="s">
        <v>401</v>
      </c>
      <c r="G114" s="37"/>
      <c r="H114" s="38">
        <v>22325</v>
      </c>
      <c r="I114" s="37" t="s">
        <v>403</v>
      </c>
      <c r="J114" s="9">
        <f>SUM(B114:H115)</f>
        <v>107482</v>
      </c>
      <c r="K114" s="3"/>
      <c r="L114" s="3"/>
      <c r="M114" s="3"/>
    </row>
    <row r="115" spans="1:13">
      <c r="A115" s="38"/>
      <c r="B115" s="38">
        <v>80674</v>
      </c>
      <c r="C115" s="38">
        <v>2522</v>
      </c>
      <c r="D115" s="38"/>
      <c r="E115" s="38">
        <v>313</v>
      </c>
      <c r="F115" s="38">
        <v>1648</v>
      </c>
      <c r="G115" s="38"/>
      <c r="H115" s="38"/>
      <c r="I115" s="41"/>
      <c r="J115" s="3"/>
      <c r="K115" s="3"/>
      <c r="L115" s="3"/>
      <c r="M115" s="3"/>
    </row>
    <row r="116" spans="1:13">
      <c r="A116" s="9"/>
      <c r="B116" s="3"/>
      <c r="C116" s="3"/>
      <c r="D116" s="3"/>
      <c r="E116" s="3"/>
      <c r="F116" s="3"/>
      <c r="G116" s="3"/>
      <c r="H116" s="3"/>
      <c r="I116" s="9"/>
      <c r="J116" s="3"/>
      <c r="K116" s="3"/>
      <c r="L116" s="3"/>
      <c r="M116" s="3"/>
    </row>
    <row r="117" spans="1:13">
      <c r="A117" s="11" t="s">
        <v>10</v>
      </c>
      <c r="B117" s="8" t="s">
        <v>556</v>
      </c>
      <c r="C117" s="8" t="s">
        <v>642</v>
      </c>
      <c r="D117" s="8" t="s">
        <v>642</v>
      </c>
      <c r="E117" s="8" t="s">
        <v>642</v>
      </c>
      <c r="F117" s="8" t="s">
        <v>556</v>
      </c>
      <c r="G117" s="8"/>
      <c r="H117" s="9">
        <v>17023</v>
      </c>
      <c r="I117" s="8" t="s">
        <v>557</v>
      </c>
      <c r="J117" s="9">
        <f>SUM(B117:H118)</f>
        <v>142921</v>
      </c>
      <c r="K117" s="3"/>
      <c r="L117" s="3"/>
      <c r="M117" s="3"/>
    </row>
    <row r="118" spans="1:13">
      <c r="A118" s="9"/>
      <c r="B118" s="10">
        <v>75732</v>
      </c>
      <c r="C118" s="9">
        <v>40916</v>
      </c>
      <c r="D118" s="9">
        <v>3524</v>
      </c>
      <c r="E118" s="9">
        <v>2596</v>
      </c>
      <c r="F118" s="9">
        <v>3130</v>
      </c>
      <c r="G118" s="9"/>
      <c r="H118" s="9"/>
      <c r="I118" s="11"/>
      <c r="J118" s="3"/>
      <c r="K118" s="3"/>
      <c r="L118" s="3"/>
      <c r="M118" s="3"/>
    </row>
    <row r="119" spans="1:13">
      <c r="A119" s="9"/>
      <c r="B119" s="9"/>
      <c r="C119" s="9"/>
      <c r="D119" s="9"/>
      <c r="E119" s="9"/>
      <c r="F119" s="9"/>
      <c r="G119" s="9"/>
      <c r="H119" s="9"/>
      <c r="I119" s="9"/>
      <c r="J119" s="3"/>
      <c r="K119" s="3"/>
      <c r="L119" s="3"/>
      <c r="M119" s="3"/>
    </row>
    <row r="120" spans="1:13">
      <c r="A120" s="41" t="s">
        <v>14</v>
      </c>
      <c r="B120" s="37" t="s">
        <v>643</v>
      </c>
      <c r="C120" s="37" t="s">
        <v>644</v>
      </c>
      <c r="D120" s="37" t="s">
        <v>644</v>
      </c>
      <c r="E120" s="37" t="s">
        <v>644</v>
      </c>
      <c r="F120" s="37" t="s">
        <v>644</v>
      </c>
      <c r="G120" s="37"/>
      <c r="H120" s="38">
        <v>19156</v>
      </c>
      <c r="I120" s="37" t="s">
        <v>645</v>
      </c>
      <c r="J120" s="9">
        <f>SUM(B120:H121)</f>
        <v>153160</v>
      </c>
      <c r="K120" s="3"/>
      <c r="L120" s="3"/>
      <c r="M120" s="3"/>
    </row>
    <row r="121" spans="1:13">
      <c r="A121" s="38"/>
      <c r="B121" s="38">
        <v>49118</v>
      </c>
      <c r="C121" s="38">
        <v>66927</v>
      </c>
      <c r="D121" s="38">
        <v>7787</v>
      </c>
      <c r="E121" s="38">
        <v>6169</v>
      </c>
      <c r="F121" s="38">
        <v>4003</v>
      </c>
      <c r="G121" s="38"/>
      <c r="H121" s="38"/>
      <c r="I121" s="41"/>
      <c r="J121" s="3"/>
      <c r="K121" s="3"/>
      <c r="L121" s="3"/>
      <c r="M121" s="3"/>
    </row>
    <row r="122" spans="1:13">
      <c r="A122" s="9"/>
      <c r="B122" s="3"/>
      <c r="C122" s="3"/>
      <c r="D122" s="3"/>
      <c r="E122" s="3"/>
      <c r="F122" s="3"/>
      <c r="G122" s="9"/>
      <c r="H122" s="9"/>
      <c r="I122" s="9"/>
      <c r="J122" s="3"/>
      <c r="K122" s="3"/>
      <c r="L122" s="3"/>
      <c r="M122" s="3"/>
    </row>
    <row r="123" spans="1:13">
      <c r="A123" s="11" t="s">
        <v>17</v>
      </c>
      <c r="B123" s="8" t="s">
        <v>646</v>
      </c>
      <c r="C123" s="8" t="s">
        <v>335</v>
      </c>
      <c r="D123" s="8" t="s">
        <v>336</v>
      </c>
      <c r="E123" s="8" t="s">
        <v>336</v>
      </c>
      <c r="F123" s="8"/>
      <c r="G123" s="8"/>
      <c r="H123" s="9">
        <v>19403</v>
      </c>
      <c r="I123" s="8" t="s">
        <v>337</v>
      </c>
      <c r="J123" s="9">
        <f>SUM(B123:H124)</f>
        <v>138805</v>
      </c>
      <c r="K123" s="3"/>
      <c r="L123" s="3"/>
      <c r="M123" s="3"/>
    </row>
    <row r="124" spans="1:13">
      <c r="A124" s="9"/>
      <c r="B124" s="9">
        <v>46450</v>
      </c>
      <c r="C124" s="9">
        <v>58144</v>
      </c>
      <c r="D124" s="9">
        <v>9278</v>
      </c>
      <c r="E124" s="9">
        <v>5530</v>
      </c>
      <c r="F124" s="9"/>
      <c r="G124" s="11"/>
      <c r="H124" s="9"/>
      <c r="I124" s="11"/>
      <c r="J124" s="3"/>
      <c r="K124" s="3"/>
      <c r="L124" s="3"/>
      <c r="M124" s="3"/>
    </row>
    <row r="125" spans="1:13">
      <c r="A125" s="9"/>
      <c r="B125" s="3"/>
      <c r="C125" s="3"/>
      <c r="D125" s="3"/>
      <c r="E125" s="3"/>
      <c r="F125" s="3"/>
      <c r="G125" s="9"/>
      <c r="H125" s="9"/>
      <c r="I125" s="9"/>
      <c r="J125" s="3"/>
      <c r="K125" s="3"/>
      <c r="L125" s="3"/>
      <c r="M125" s="3"/>
    </row>
    <row r="126" spans="1:13">
      <c r="A126" s="41" t="s">
        <v>19</v>
      </c>
      <c r="B126" s="37"/>
      <c r="C126" s="37" t="s">
        <v>647</v>
      </c>
      <c r="D126" s="37" t="s">
        <v>647</v>
      </c>
      <c r="E126" s="37" t="s">
        <v>647</v>
      </c>
      <c r="F126" s="37"/>
      <c r="G126" s="37"/>
      <c r="H126" s="40">
        <v>75971</v>
      </c>
      <c r="I126" s="37" t="s">
        <v>648</v>
      </c>
      <c r="J126" s="9">
        <f>SUM(B126:H127)</f>
        <v>150508</v>
      </c>
      <c r="K126" s="3"/>
      <c r="L126" s="3"/>
      <c r="M126" s="3"/>
    </row>
    <row r="127" spans="1:13">
      <c r="A127" s="38"/>
      <c r="B127" s="38"/>
      <c r="C127" s="38">
        <v>58583</v>
      </c>
      <c r="D127" s="38">
        <v>9987</v>
      </c>
      <c r="E127" s="38">
        <v>5967</v>
      </c>
      <c r="F127" s="38"/>
      <c r="G127" s="41"/>
      <c r="H127" s="38"/>
      <c r="I127" s="41"/>
      <c r="J127" s="3"/>
      <c r="K127" s="3"/>
      <c r="L127" s="3"/>
      <c r="M127" s="3"/>
    </row>
    <row r="128" spans="1:13">
      <c r="A128" s="9"/>
      <c r="B128" s="3"/>
      <c r="C128" s="3"/>
      <c r="D128" s="3"/>
      <c r="E128" s="3"/>
      <c r="F128" s="3"/>
      <c r="G128" s="9"/>
      <c r="H128" s="9"/>
      <c r="I128" s="9"/>
      <c r="J128" s="3"/>
      <c r="K128" s="3"/>
      <c r="L128" s="3"/>
      <c r="M128" s="3"/>
    </row>
    <row r="129" spans="1:13">
      <c r="A129" s="11" t="s">
        <v>20</v>
      </c>
      <c r="B129" s="8" t="s">
        <v>649</v>
      </c>
      <c r="C129" s="8" t="s">
        <v>489</v>
      </c>
      <c r="D129" s="8" t="s">
        <v>489</v>
      </c>
      <c r="E129" s="8" t="s">
        <v>562</v>
      </c>
      <c r="F129" s="8" t="s">
        <v>649</v>
      </c>
      <c r="G129" s="8"/>
      <c r="H129" s="10">
        <v>19315</v>
      </c>
      <c r="I129" s="8" t="s">
        <v>563</v>
      </c>
      <c r="J129" s="9">
        <f>SUM(B129:H130)</f>
        <v>146950</v>
      </c>
      <c r="K129" s="3"/>
      <c r="L129" s="3"/>
      <c r="M129" s="3"/>
    </row>
    <row r="130" spans="1:13">
      <c r="A130" s="9"/>
      <c r="B130" s="9">
        <v>50307</v>
      </c>
      <c r="C130" s="9">
        <v>61647</v>
      </c>
      <c r="D130" s="9">
        <v>6478</v>
      </c>
      <c r="E130" s="9">
        <v>5962</v>
      </c>
      <c r="F130" s="9">
        <v>3241</v>
      </c>
      <c r="G130" s="9"/>
      <c r="H130" s="9"/>
      <c r="I130" s="11"/>
      <c r="J130" s="3"/>
      <c r="K130" s="3"/>
      <c r="L130" s="3"/>
      <c r="M130" s="3"/>
    </row>
    <row r="131" spans="1:13">
      <c r="A131" s="9"/>
      <c r="B131" s="3"/>
      <c r="C131" s="3"/>
      <c r="D131" s="3"/>
      <c r="E131" s="3"/>
      <c r="F131" s="3"/>
      <c r="G131" s="3"/>
      <c r="H131" s="9"/>
      <c r="I131" s="9"/>
      <c r="J131" s="3"/>
      <c r="K131" s="3"/>
      <c r="L131" s="3"/>
      <c r="M131" s="3"/>
    </row>
    <row r="132" spans="1:13">
      <c r="A132" s="41" t="s">
        <v>22</v>
      </c>
      <c r="B132" s="37"/>
      <c r="C132" s="37" t="s">
        <v>342</v>
      </c>
      <c r="D132" s="37" t="s">
        <v>342</v>
      </c>
      <c r="E132" s="37" t="s">
        <v>342</v>
      </c>
      <c r="F132" s="37"/>
      <c r="G132" s="37"/>
      <c r="H132" s="40">
        <v>71690</v>
      </c>
      <c r="I132" s="37" t="s">
        <v>343</v>
      </c>
      <c r="J132" s="9">
        <f>SUM(B132:H133)</f>
        <v>138426</v>
      </c>
      <c r="K132" s="3"/>
      <c r="L132" s="3"/>
      <c r="M132" s="3"/>
    </row>
    <row r="133" spans="1:13">
      <c r="A133" s="38"/>
      <c r="B133" s="40"/>
      <c r="C133" s="38">
        <v>51773</v>
      </c>
      <c r="D133" s="38">
        <v>9125</v>
      </c>
      <c r="E133" s="38">
        <v>5838</v>
      </c>
      <c r="F133" s="38"/>
      <c r="G133" s="38"/>
      <c r="H133" s="38"/>
      <c r="I133" s="41"/>
      <c r="J133" s="3"/>
      <c r="K133" s="3"/>
      <c r="L133" s="3"/>
      <c r="M133" s="3"/>
    </row>
    <row r="134" spans="1:13">
      <c r="A134" s="9"/>
      <c r="B134" s="3"/>
      <c r="C134" s="3"/>
      <c r="D134" s="3"/>
      <c r="E134" s="3"/>
      <c r="F134" s="3"/>
      <c r="G134" s="3"/>
      <c r="H134" s="9"/>
      <c r="I134" s="9"/>
      <c r="J134" s="3"/>
      <c r="K134" s="3"/>
      <c r="L134" s="3"/>
      <c r="M134" s="3"/>
    </row>
    <row r="135" spans="1:13">
      <c r="A135" s="11" t="s">
        <v>25</v>
      </c>
      <c r="B135" s="8" t="s">
        <v>576</v>
      </c>
      <c r="C135" s="8" t="s">
        <v>493</v>
      </c>
      <c r="D135" s="8" t="s">
        <v>493</v>
      </c>
      <c r="E135" s="8" t="s">
        <v>493</v>
      </c>
      <c r="F135" s="8" t="s">
        <v>680</v>
      </c>
      <c r="G135" s="8"/>
      <c r="H135" s="9">
        <v>18787</v>
      </c>
      <c r="I135" s="8" t="s">
        <v>566</v>
      </c>
      <c r="J135" s="9">
        <f>SUM(B135:H136)</f>
        <v>158061</v>
      </c>
      <c r="K135" s="3"/>
      <c r="L135" s="3"/>
      <c r="M135" s="3"/>
    </row>
    <row r="136" spans="1:13">
      <c r="A136" s="9"/>
      <c r="B136" s="10">
        <v>54582</v>
      </c>
      <c r="C136" s="9">
        <v>68685</v>
      </c>
      <c r="D136" s="9">
        <v>7186</v>
      </c>
      <c r="E136" s="9">
        <v>6340</v>
      </c>
      <c r="F136" s="9">
        <v>2481</v>
      </c>
      <c r="G136" s="9"/>
      <c r="H136" s="9"/>
      <c r="I136" s="11"/>
      <c r="J136" s="3"/>
      <c r="K136" s="3"/>
      <c r="L136" s="3"/>
      <c r="M136" s="3"/>
    </row>
    <row r="137" spans="1:13">
      <c r="A137" s="9"/>
      <c r="B137" s="3"/>
      <c r="C137" s="3"/>
      <c r="D137" s="3"/>
      <c r="E137" s="3"/>
      <c r="F137" s="3"/>
      <c r="G137" s="3"/>
      <c r="H137" s="9"/>
      <c r="I137" s="9"/>
      <c r="J137" s="3"/>
      <c r="K137" s="3"/>
      <c r="L137" s="3"/>
      <c r="M137" s="3"/>
    </row>
    <row r="138" spans="1:13">
      <c r="A138" s="41" t="s">
        <v>27</v>
      </c>
      <c r="B138" s="37" t="s">
        <v>479</v>
      </c>
      <c r="C138" s="37" t="s">
        <v>568</v>
      </c>
      <c r="D138" s="37" t="s">
        <v>568</v>
      </c>
      <c r="E138" s="37" t="s">
        <v>414</v>
      </c>
      <c r="F138" s="37" t="s">
        <v>681</v>
      </c>
      <c r="G138" s="37"/>
      <c r="H138" s="38">
        <v>23501</v>
      </c>
      <c r="I138" s="37" t="s">
        <v>416</v>
      </c>
      <c r="J138" s="9">
        <f>SUM(B138:H139)</f>
        <v>141717</v>
      </c>
      <c r="K138" s="3"/>
      <c r="L138" s="3"/>
      <c r="M138" s="3"/>
    </row>
    <row r="139" spans="1:13">
      <c r="A139" s="38"/>
      <c r="B139" s="38">
        <v>37240</v>
      </c>
      <c r="C139" s="38">
        <v>65032</v>
      </c>
      <c r="D139" s="38">
        <v>6524</v>
      </c>
      <c r="E139" s="38">
        <v>6622</v>
      </c>
      <c r="F139" s="38">
        <v>2798</v>
      </c>
      <c r="G139" s="38"/>
      <c r="H139" s="38"/>
      <c r="I139" s="41"/>
      <c r="J139" s="3"/>
      <c r="K139" s="3"/>
      <c r="L139" s="3"/>
      <c r="M139" s="3"/>
    </row>
    <row r="140" spans="1:13">
      <c r="A140" s="9"/>
      <c r="B140" s="3"/>
      <c r="C140" s="3"/>
      <c r="D140" s="3"/>
      <c r="E140" s="3"/>
      <c r="F140" s="3"/>
      <c r="G140" s="9"/>
      <c r="H140" s="9"/>
      <c r="I140" s="9"/>
      <c r="J140" s="3"/>
      <c r="K140" s="3"/>
      <c r="L140" s="3"/>
      <c r="M140" s="3"/>
    </row>
    <row r="141" spans="1:13">
      <c r="A141" s="11" t="s">
        <v>30</v>
      </c>
      <c r="B141" s="8"/>
      <c r="C141" s="8" t="s">
        <v>86</v>
      </c>
      <c r="D141" s="8" t="s">
        <v>86</v>
      </c>
      <c r="E141" s="8" t="s">
        <v>86</v>
      </c>
      <c r="F141" s="8"/>
      <c r="G141" s="8"/>
      <c r="H141" s="9">
        <v>47733</v>
      </c>
      <c r="I141" s="8" t="s">
        <v>99</v>
      </c>
      <c r="J141" s="9">
        <f>SUM(B141:H142)</f>
        <v>132215</v>
      </c>
      <c r="K141" s="3"/>
      <c r="L141" s="3"/>
      <c r="M141" s="3"/>
    </row>
    <row r="142" spans="1:13">
      <c r="A142" s="9"/>
      <c r="B142" s="11"/>
      <c r="C142" s="9">
        <v>66315</v>
      </c>
      <c r="D142" s="9">
        <v>12007</v>
      </c>
      <c r="E142" s="9">
        <v>6160</v>
      </c>
      <c r="F142" s="9"/>
      <c r="G142" s="9"/>
      <c r="H142" s="9"/>
      <c r="I142" s="11"/>
      <c r="J142" s="3"/>
      <c r="K142" s="3"/>
      <c r="L142" s="3"/>
      <c r="M142" s="3"/>
    </row>
    <row r="143" spans="1:13">
      <c r="A143" s="9"/>
      <c r="B143" s="3"/>
      <c r="C143" s="3"/>
      <c r="D143" s="3"/>
      <c r="E143" s="3"/>
      <c r="F143" s="3"/>
      <c r="G143" s="3"/>
      <c r="H143" s="3"/>
      <c r="I143" s="9"/>
      <c r="J143" s="3"/>
      <c r="K143" s="3"/>
      <c r="L143" s="3"/>
      <c r="M143" s="3"/>
    </row>
    <row r="144" spans="1:13">
      <c r="A144" s="41" t="s">
        <v>31</v>
      </c>
      <c r="B144" s="37" t="s">
        <v>72</v>
      </c>
      <c r="C144" s="37"/>
      <c r="D144" s="37" t="s">
        <v>72</v>
      </c>
      <c r="E144" s="42" t="s">
        <v>650</v>
      </c>
      <c r="F144" s="42" t="s">
        <v>72</v>
      </c>
      <c r="G144" s="37"/>
      <c r="H144" s="38">
        <v>35542</v>
      </c>
      <c r="I144" s="37" t="s">
        <v>92</v>
      </c>
      <c r="J144" s="9">
        <f>SUM(B144:H145)</f>
        <v>148833</v>
      </c>
      <c r="K144" s="3"/>
      <c r="L144" s="3"/>
      <c r="M144" s="3"/>
    </row>
    <row r="145" spans="1:13">
      <c r="A145" s="38"/>
      <c r="B145" s="38">
        <v>88226</v>
      </c>
      <c r="C145" s="38"/>
      <c r="D145" s="38">
        <v>8282</v>
      </c>
      <c r="E145" s="38">
        <v>11497</v>
      </c>
      <c r="F145" s="38">
        <v>5286</v>
      </c>
      <c r="G145" s="38"/>
      <c r="H145" s="38"/>
      <c r="I145" s="41"/>
      <c r="J145" s="3"/>
      <c r="K145" s="3"/>
      <c r="L145" s="3"/>
      <c r="M145" s="3"/>
    </row>
    <row r="146" spans="1:13">
      <c r="A146" s="9"/>
      <c r="B146" s="3"/>
      <c r="C146" s="3"/>
      <c r="D146" s="3"/>
      <c r="E146" s="3"/>
      <c r="F146" s="3"/>
      <c r="G146" s="3"/>
      <c r="H146" s="9"/>
      <c r="I146" s="9"/>
      <c r="J146" s="3"/>
      <c r="K146" s="3"/>
      <c r="L146" s="3"/>
      <c r="M146" s="3"/>
    </row>
    <row r="147" spans="1:13">
      <c r="A147" s="11" t="s">
        <v>34</v>
      </c>
      <c r="B147" s="8"/>
      <c r="C147" s="8" t="s">
        <v>106</v>
      </c>
      <c r="D147" s="8" t="s">
        <v>106</v>
      </c>
      <c r="E147" s="8" t="s">
        <v>106</v>
      </c>
      <c r="F147" s="8" t="s">
        <v>682</v>
      </c>
      <c r="G147" s="8"/>
      <c r="H147" s="9">
        <v>44765</v>
      </c>
      <c r="I147" s="8" t="s">
        <v>651</v>
      </c>
      <c r="J147" s="9">
        <f>SUM(B147:H148)</f>
        <v>119531</v>
      </c>
      <c r="K147" s="3"/>
      <c r="L147" s="3"/>
      <c r="M147" s="3"/>
    </row>
    <row r="148" spans="1:13">
      <c r="A148" s="9"/>
      <c r="B148" s="11"/>
      <c r="C148" s="9">
        <v>53855</v>
      </c>
      <c r="D148" s="9">
        <v>7705</v>
      </c>
      <c r="E148" s="9">
        <v>4644</v>
      </c>
      <c r="F148" s="9">
        <v>8562</v>
      </c>
      <c r="G148" s="9"/>
      <c r="H148" s="9"/>
      <c r="I148" s="11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41" t="s">
        <v>37</v>
      </c>
      <c r="B150" s="42" t="s">
        <v>574</v>
      </c>
      <c r="C150" s="42" t="s">
        <v>652</v>
      </c>
      <c r="D150" s="42" t="s">
        <v>652</v>
      </c>
      <c r="E150" s="42" t="s">
        <v>652</v>
      </c>
      <c r="F150" s="42" t="s">
        <v>574</v>
      </c>
      <c r="G150" s="42"/>
      <c r="H150" s="40">
        <v>10459</v>
      </c>
      <c r="I150" s="42" t="s">
        <v>653</v>
      </c>
      <c r="J150" s="9">
        <f>SUM(B150:H151)</f>
        <v>110309</v>
      </c>
      <c r="K150" s="3"/>
      <c r="L150" s="3"/>
      <c r="M150" s="3"/>
    </row>
    <row r="151" spans="1:13">
      <c r="A151" s="39"/>
      <c r="B151" s="38">
        <v>48974</v>
      </c>
      <c r="C151" s="38">
        <v>40058</v>
      </c>
      <c r="D151" s="38">
        <v>3569</v>
      </c>
      <c r="E151" s="38">
        <v>3315</v>
      </c>
      <c r="F151" s="38">
        <v>3934</v>
      </c>
      <c r="G151" s="38"/>
      <c r="H151" s="39"/>
      <c r="I151" s="39"/>
      <c r="J151" s="9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9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9"/>
      <c r="K153" s="3"/>
      <c r="L153" s="3"/>
      <c r="M153" s="3"/>
    </row>
    <row r="154" spans="1:13">
      <c r="A154" s="11" t="s">
        <v>39</v>
      </c>
      <c r="B154" s="8" t="s">
        <v>98</v>
      </c>
      <c r="C154" s="8" t="s">
        <v>654</v>
      </c>
      <c r="D154" s="8" t="s">
        <v>654</v>
      </c>
      <c r="E154" s="8" t="s">
        <v>654</v>
      </c>
      <c r="F154" s="8" t="s">
        <v>98</v>
      </c>
      <c r="G154" s="8"/>
      <c r="H154" s="9">
        <v>16999</v>
      </c>
      <c r="I154" s="8" t="s">
        <v>110</v>
      </c>
      <c r="J154" s="9">
        <f>SUM(B154:H155)</f>
        <v>129155</v>
      </c>
      <c r="K154" s="3"/>
      <c r="L154" s="3"/>
      <c r="M154" s="3"/>
    </row>
    <row r="155" spans="1:13">
      <c r="A155" s="9"/>
      <c r="B155" s="9">
        <v>67536</v>
      </c>
      <c r="C155" s="9">
        <v>33117</v>
      </c>
      <c r="D155" s="9">
        <v>2813</v>
      </c>
      <c r="E155" s="9">
        <v>3889</v>
      </c>
      <c r="F155" s="9">
        <v>4801</v>
      </c>
      <c r="G155" s="9"/>
      <c r="H155" s="9"/>
      <c r="I155" s="11"/>
      <c r="J155" s="9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9"/>
      <c r="K156" s="3"/>
      <c r="L156" s="3"/>
      <c r="M156" s="3"/>
    </row>
    <row r="157" spans="1:13">
      <c r="A157" s="41" t="s">
        <v>43</v>
      </c>
      <c r="B157" s="37" t="s">
        <v>655</v>
      </c>
      <c r="C157" s="37" t="s">
        <v>87</v>
      </c>
      <c r="D157" s="37" t="s">
        <v>87</v>
      </c>
      <c r="E157" s="37" t="s">
        <v>87</v>
      </c>
      <c r="F157" s="37"/>
      <c r="G157" s="37"/>
      <c r="H157" s="38">
        <v>15515</v>
      </c>
      <c r="I157" s="37" t="s">
        <v>40</v>
      </c>
      <c r="J157" s="9">
        <f>SUM(B157:H158)</f>
        <v>142741</v>
      </c>
      <c r="K157" s="3"/>
      <c r="L157" s="3"/>
      <c r="M157" s="3"/>
    </row>
    <row r="158" spans="1:13">
      <c r="A158" s="38"/>
      <c r="B158" s="41">
        <v>39431</v>
      </c>
      <c r="C158" s="38">
        <v>73654</v>
      </c>
      <c r="D158" s="38">
        <v>7695</v>
      </c>
      <c r="E158" s="38">
        <v>6446</v>
      </c>
      <c r="F158" s="38"/>
      <c r="G158" s="38"/>
      <c r="H158" s="38"/>
      <c r="I158" s="41"/>
      <c r="J158" s="9"/>
      <c r="K158" s="3"/>
      <c r="L158" s="3"/>
      <c r="M158" s="3"/>
    </row>
    <row r="159" spans="1:13">
      <c r="A159" s="9"/>
      <c r="B159" s="3"/>
      <c r="C159" s="3"/>
      <c r="D159" s="3"/>
      <c r="E159" s="3"/>
      <c r="F159" s="3"/>
      <c r="G159" s="3"/>
      <c r="H159" s="9"/>
      <c r="I159" s="9"/>
      <c r="J159" s="9"/>
      <c r="K159" s="3"/>
      <c r="L159" s="3"/>
      <c r="M159" s="3"/>
    </row>
    <row r="160" spans="1:13">
      <c r="A160" s="11" t="s">
        <v>46</v>
      </c>
      <c r="B160" s="8" t="s">
        <v>656</v>
      </c>
      <c r="C160" s="8" t="s">
        <v>88</v>
      </c>
      <c r="D160" s="8" t="s">
        <v>88</v>
      </c>
      <c r="E160" s="8" t="s">
        <v>88</v>
      </c>
      <c r="F160" s="8" t="s">
        <v>656</v>
      </c>
      <c r="G160" s="8"/>
      <c r="H160" s="9">
        <v>15126</v>
      </c>
      <c r="I160" s="8" t="s">
        <v>44</v>
      </c>
      <c r="J160" s="9">
        <f>SUM(B160:H161)</f>
        <v>131380</v>
      </c>
      <c r="K160" s="3"/>
      <c r="L160" s="3"/>
      <c r="M160" s="3"/>
    </row>
    <row r="161" spans="1:13">
      <c r="A161" s="9"/>
      <c r="B161" s="9">
        <v>38904</v>
      </c>
      <c r="C161" s="9">
        <v>63330</v>
      </c>
      <c r="D161" s="9">
        <v>5857</v>
      </c>
      <c r="E161" s="9">
        <v>4627</v>
      </c>
      <c r="F161" s="9">
        <v>3536</v>
      </c>
      <c r="G161" s="9"/>
      <c r="H161" s="9"/>
      <c r="I161" s="11"/>
      <c r="J161" s="9"/>
      <c r="K161" s="3"/>
      <c r="L161" s="3"/>
      <c r="M161" s="3"/>
    </row>
    <row r="162" spans="1:13">
      <c r="A162" s="9"/>
      <c r="B162" s="3"/>
      <c r="C162" s="3"/>
      <c r="D162" s="3"/>
      <c r="E162" s="3"/>
      <c r="F162" s="3"/>
      <c r="G162" s="3"/>
      <c r="H162" s="9"/>
      <c r="I162" s="9"/>
      <c r="J162" s="9"/>
      <c r="K162" s="3"/>
      <c r="L162" s="3"/>
      <c r="M162" s="3"/>
    </row>
    <row r="163" spans="1:13">
      <c r="A163" s="41" t="s">
        <v>48</v>
      </c>
      <c r="B163" s="37"/>
      <c r="C163" s="37" t="s">
        <v>418</v>
      </c>
      <c r="D163" s="37" t="s">
        <v>418</v>
      </c>
      <c r="E163" s="37" t="s">
        <v>418</v>
      </c>
      <c r="F163" s="37"/>
      <c r="G163" s="37"/>
      <c r="H163" s="38">
        <v>52523</v>
      </c>
      <c r="I163" s="37" t="s">
        <v>419</v>
      </c>
      <c r="J163" s="9">
        <f>SUM(B163:H164)</f>
        <v>129601</v>
      </c>
      <c r="K163" s="3"/>
      <c r="L163" s="3"/>
      <c r="M163" s="3"/>
    </row>
    <row r="164" spans="1:13">
      <c r="A164" s="38"/>
      <c r="B164" s="38"/>
      <c r="C164" s="38">
        <v>64479</v>
      </c>
      <c r="D164" s="38">
        <v>8155</v>
      </c>
      <c r="E164" s="38">
        <v>4444</v>
      </c>
      <c r="F164" s="38"/>
      <c r="G164" s="38"/>
      <c r="H164" s="38"/>
      <c r="I164" s="41"/>
      <c r="J164" s="9"/>
      <c r="K164" s="3"/>
      <c r="L164" s="3"/>
      <c r="M164" s="3"/>
    </row>
    <row r="165" spans="1:13">
      <c r="A165" s="9"/>
      <c r="B165" s="3"/>
      <c r="C165" s="3"/>
      <c r="D165" s="3"/>
      <c r="E165" s="3"/>
      <c r="F165" s="3"/>
      <c r="G165" s="3"/>
      <c r="H165" s="9"/>
      <c r="I165" s="9"/>
      <c r="J165" s="9"/>
      <c r="K165" s="3"/>
      <c r="L165" s="3"/>
      <c r="M165" s="3"/>
    </row>
    <row r="166" spans="1:13">
      <c r="A166" s="11" t="s">
        <v>50</v>
      </c>
      <c r="B166" s="8" t="s">
        <v>657</v>
      </c>
      <c r="C166" s="8" t="s">
        <v>658</v>
      </c>
      <c r="D166" s="8" t="s">
        <v>658</v>
      </c>
      <c r="E166" s="8" t="s">
        <v>658</v>
      </c>
      <c r="F166" s="8"/>
      <c r="G166" s="8"/>
      <c r="H166" s="9">
        <v>20066</v>
      </c>
      <c r="I166" s="8" t="s">
        <v>659</v>
      </c>
      <c r="J166" s="9">
        <f>SUM(B166:H167)</f>
        <v>124551</v>
      </c>
      <c r="K166" s="3"/>
      <c r="L166" s="3"/>
      <c r="M166" s="3"/>
    </row>
    <row r="167" spans="1:13">
      <c r="A167" s="9"/>
      <c r="B167" s="11">
        <v>43341</v>
      </c>
      <c r="C167" s="9">
        <v>53542</v>
      </c>
      <c r="D167" s="9">
        <v>4453</v>
      </c>
      <c r="E167" s="9">
        <v>3149</v>
      </c>
      <c r="F167" s="9"/>
      <c r="G167" s="9"/>
      <c r="H167" s="9"/>
      <c r="I167" s="11"/>
      <c r="J167" s="9"/>
      <c r="K167" s="3"/>
      <c r="L167" s="3"/>
      <c r="M167" s="3"/>
    </row>
    <row r="168" spans="1:13">
      <c r="A168" s="9"/>
      <c r="B168" s="3"/>
      <c r="C168" s="3"/>
      <c r="D168" s="3"/>
      <c r="E168" s="3"/>
      <c r="F168" s="3"/>
      <c r="G168" s="3"/>
      <c r="H168" s="9"/>
      <c r="I168" s="9"/>
      <c r="J168" s="9"/>
      <c r="K168" s="3"/>
      <c r="L168" s="3"/>
      <c r="M168" s="3"/>
    </row>
    <row r="169" spans="1:13">
      <c r="A169" s="41" t="s">
        <v>51</v>
      </c>
      <c r="B169" s="37" t="s">
        <v>660</v>
      </c>
      <c r="C169" s="37" t="s">
        <v>420</v>
      </c>
      <c r="D169" s="37" t="s">
        <v>420</v>
      </c>
      <c r="E169" s="37" t="s">
        <v>420</v>
      </c>
      <c r="F169" s="37" t="s">
        <v>660</v>
      </c>
      <c r="G169" s="37" t="s">
        <v>661</v>
      </c>
      <c r="H169" s="38">
        <v>16162</v>
      </c>
      <c r="I169" s="37" t="s">
        <v>421</v>
      </c>
      <c r="J169" s="9">
        <f>SUM(B169:H170)</f>
        <v>138586</v>
      </c>
      <c r="K169" s="3"/>
      <c r="L169" s="3"/>
      <c r="M169" s="3"/>
    </row>
    <row r="170" spans="1:13">
      <c r="A170" s="38"/>
      <c r="B170" s="38">
        <v>32764</v>
      </c>
      <c r="C170" s="38">
        <v>70836</v>
      </c>
      <c r="D170" s="38">
        <v>7116</v>
      </c>
      <c r="E170" s="38">
        <v>6668</v>
      </c>
      <c r="F170" s="38">
        <v>2227</v>
      </c>
      <c r="G170" s="41">
        <v>2813</v>
      </c>
      <c r="H170" s="38"/>
      <c r="I170" s="41"/>
      <c r="J170" s="9"/>
      <c r="K170" s="3"/>
      <c r="L170" s="3"/>
      <c r="M170" s="3"/>
    </row>
    <row r="171" spans="1:13">
      <c r="A171" s="9"/>
      <c r="B171" s="3"/>
      <c r="C171" s="3"/>
      <c r="D171" s="3"/>
      <c r="E171" s="3"/>
      <c r="F171" s="3"/>
      <c r="G171" s="3"/>
      <c r="H171" s="9"/>
      <c r="I171" s="9"/>
      <c r="J171" s="9"/>
      <c r="K171" s="3"/>
      <c r="L171" s="3"/>
      <c r="M171" s="3"/>
    </row>
    <row r="172" spans="1:13">
      <c r="A172" s="11" t="s">
        <v>53</v>
      </c>
      <c r="B172" s="8" t="s">
        <v>662</v>
      </c>
      <c r="C172" s="8" t="s">
        <v>581</v>
      </c>
      <c r="D172" s="8" t="s">
        <v>582</v>
      </c>
      <c r="E172" s="8" t="s">
        <v>582</v>
      </c>
      <c r="F172" s="8" t="s">
        <v>662</v>
      </c>
      <c r="G172" s="8"/>
      <c r="H172" s="9">
        <v>19684</v>
      </c>
      <c r="I172" s="8" t="s">
        <v>584</v>
      </c>
      <c r="J172" s="9">
        <f>SUM(B172:H173)</f>
        <v>161316</v>
      </c>
      <c r="K172" s="3"/>
      <c r="L172" s="3"/>
      <c r="M172" s="3"/>
    </row>
    <row r="173" spans="1:13">
      <c r="A173" s="9"/>
      <c r="B173" s="9">
        <v>53272</v>
      </c>
      <c r="C173" s="9">
        <v>71568</v>
      </c>
      <c r="D173" s="9">
        <v>6073</v>
      </c>
      <c r="E173" s="9">
        <v>7762</v>
      </c>
      <c r="F173" s="9">
        <v>2957</v>
      </c>
      <c r="G173" s="9"/>
      <c r="H173" s="9"/>
      <c r="I173" s="11"/>
      <c r="J173" s="9"/>
      <c r="K173" s="3"/>
      <c r="L173" s="3"/>
      <c r="M173" s="3"/>
    </row>
    <row r="174" spans="1:13">
      <c r="A174" s="9"/>
      <c r="B174" s="3"/>
      <c r="C174" s="3"/>
      <c r="D174" s="3"/>
      <c r="E174" s="3"/>
      <c r="F174" s="3"/>
      <c r="G174" s="3"/>
      <c r="H174" s="9"/>
      <c r="I174" s="9"/>
      <c r="J174" s="9"/>
      <c r="K174" s="3"/>
      <c r="L174" s="3"/>
      <c r="M174" s="3"/>
    </row>
    <row r="175" spans="1:13">
      <c r="A175" s="41" t="s">
        <v>55</v>
      </c>
      <c r="B175" s="37" t="s">
        <v>663</v>
      </c>
      <c r="C175" s="37" t="s">
        <v>89</v>
      </c>
      <c r="D175" s="37" t="s">
        <v>89</v>
      </c>
      <c r="E175" s="37" t="s">
        <v>89</v>
      </c>
      <c r="F175" s="37" t="s">
        <v>663</v>
      </c>
      <c r="G175" s="37"/>
      <c r="H175" s="38">
        <v>11168</v>
      </c>
      <c r="I175" s="37" t="s">
        <v>90</v>
      </c>
      <c r="J175" s="9">
        <f>SUM(B175:H176)</f>
        <v>131715</v>
      </c>
      <c r="K175" s="3"/>
      <c r="L175" s="3"/>
      <c r="M175" s="3"/>
    </row>
    <row r="176" spans="1:13">
      <c r="A176" s="38"/>
      <c r="B176" s="40">
        <v>55175</v>
      </c>
      <c r="C176" s="40">
        <v>51774</v>
      </c>
      <c r="D176" s="40">
        <v>5151</v>
      </c>
      <c r="E176" s="40">
        <v>5458</v>
      </c>
      <c r="F176" s="40">
        <v>2989</v>
      </c>
      <c r="G176" s="38"/>
      <c r="H176" s="38"/>
      <c r="I176" s="41"/>
      <c r="J176" s="9"/>
      <c r="K176" s="3"/>
      <c r="L176" s="3"/>
      <c r="M176" s="3"/>
    </row>
    <row r="177" spans="1:13">
      <c r="A177" s="9"/>
      <c r="B177" s="3"/>
      <c r="C177" s="3"/>
      <c r="D177" s="3"/>
      <c r="E177" s="3"/>
      <c r="F177" s="3"/>
      <c r="G177" s="3"/>
      <c r="H177" s="9"/>
      <c r="I177" s="9"/>
      <c r="J177" s="9"/>
      <c r="K177" s="3"/>
      <c r="L177" s="3"/>
      <c r="M177" s="3"/>
    </row>
    <row r="178" spans="1:13">
      <c r="A178" s="11" t="s">
        <v>57</v>
      </c>
      <c r="B178" s="8" t="s">
        <v>664</v>
      </c>
      <c r="C178" s="8" t="s">
        <v>100</v>
      </c>
      <c r="D178" s="8" t="s">
        <v>100</v>
      </c>
      <c r="E178" s="8" t="s">
        <v>100</v>
      </c>
      <c r="F178" s="8"/>
      <c r="G178" s="8"/>
      <c r="H178" s="9">
        <v>13946</v>
      </c>
      <c r="I178" s="10" t="s">
        <v>115</v>
      </c>
      <c r="J178" s="9">
        <f>SUM(B178:H179)</f>
        <v>120112</v>
      </c>
      <c r="K178" s="3"/>
      <c r="L178" s="3"/>
      <c r="M178" s="3"/>
    </row>
    <row r="179" spans="1:13">
      <c r="A179" s="9"/>
      <c r="B179" s="10">
        <v>23400</v>
      </c>
      <c r="C179" s="10">
        <v>69296</v>
      </c>
      <c r="D179" s="10">
        <v>7728</v>
      </c>
      <c r="E179" s="10">
        <v>5742</v>
      </c>
      <c r="F179" s="10"/>
      <c r="G179" s="9"/>
      <c r="H179" s="9"/>
      <c r="I179" s="11"/>
      <c r="J179" s="9"/>
      <c r="K179" s="3"/>
      <c r="L179" s="3"/>
      <c r="M179" s="3"/>
    </row>
    <row r="180" spans="1:13">
      <c r="A180" s="9"/>
      <c r="B180" s="3"/>
      <c r="C180" s="3"/>
      <c r="D180" s="3"/>
      <c r="E180" s="3"/>
      <c r="F180" s="3"/>
      <c r="G180" s="3"/>
      <c r="H180" s="9"/>
      <c r="I180" s="9"/>
      <c r="J180" s="9"/>
      <c r="K180" s="3"/>
      <c r="L180" s="3"/>
      <c r="M180" s="3"/>
    </row>
    <row r="181" spans="1:13">
      <c r="A181" s="41" t="s">
        <v>60</v>
      </c>
      <c r="B181" s="37" t="s">
        <v>588</v>
      </c>
      <c r="C181" s="37" t="s">
        <v>665</v>
      </c>
      <c r="D181" s="37" t="s">
        <v>665</v>
      </c>
      <c r="E181" s="37" t="s">
        <v>666</v>
      </c>
      <c r="F181" s="37" t="s">
        <v>588</v>
      </c>
      <c r="G181" s="40" t="s">
        <v>668</v>
      </c>
      <c r="H181" s="38">
        <v>12540</v>
      </c>
      <c r="I181" s="37" t="s">
        <v>667</v>
      </c>
      <c r="J181" s="9">
        <f>SUM(B181:H182)</f>
        <v>133527</v>
      </c>
      <c r="K181" s="3"/>
      <c r="L181" s="3"/>
      <c r="M181" s="3"/>
    </row>
    <row r="182" spans="1:13">
      <c r="A182" s="38"/>
      <c r="B182" s="40">
        <v>56000</v>
      </c>
      <c r="C182" s="38">
        <v>44885</v>
      </c>
      <c r="D182" s="40">
        <v>8631</v>
      </c>
      <c r="E182" s="40">
        <v>4191</v>
      </c>
      <c r="F182" s="40">
        <v>3925</v>
      </c>
      <c r="G182" s="38">
        <v>3355</v>
      </c>
      <c r="H182" s="38"/>
      <c r="I182" s="41"/>
      <c r="J182" s="9"/>
      <c r="K182" s="3"/>
      <c r="L182" s="3"/>
      <c r="M182" s="3"/>
    </row>
    <row r="183" spans="1:13">
      <c r="A183" s="9"/>
      <c r="B183" s="3"/>
      <c r="C183" s="3"/>
      <c r="D183" s="3"/>
      <c r="E183" s="3"/>
      <c r="F183" s="3"/>
      <c r="G183" s="3"/>
      <c r="H183" s="9"/>
      <c r="I183" s="9"/>
      <c r="J183" s="9"/>
      <c r="K183" s="3"/>
      <c r="L183" s="3"/>
      <c r="M183" s="3"/>
    </row>
    <row r="184" spans="1:13">
      <c r="A184" s="11" t="s">
        <v>61</v>
      </c>
      <c r="B184" s="8" t="s">
        <v>669</v>
      </c>
      <c r="C184" s="8" t="s">
        <v>670</v>
      </c>
      <c r="D184" s="8" t="s">
        <v>670</v>
      </c>
      <c r="E184" s="8" t="s">
        <v>671</v>
      </c>
      <c r="F184" s="8"/>
      <c r="G184" s="10"/>
      <c r="H184" s="9">
        <v>20089</v>
      </c>
      <c r="I184" s="8" t="s">
        <v>672</v>
      </c>
      <c r="J184" s="9">
        <f>SUM(B184:H185)</f>
        <v>148002</v>
      </c>
      <c r="K184" s="3"/>
      <c r="L184" s="3"/>
      <c r="M184" s="3"/>
    </row>
    <row r="185" spans="1:13">
      <c r="A185" s="9"/>
      <c r="B185" s="10">
        <v>57278</v>
      </c>
      <c r="C185" s="9">
        <v>58783</v>
      </c>
      <c r="D185" s="10">
        <v>5605</v>
      </c>
      <c r="E185" s="10">
        <v>6247</v>
      </c>
      <c r="F185" s="10"/>
      <c r="G185" s="9"/>
      <c r="H185" s="9"/>
      <c r="I185" s="11"/>
      <c r="J185" s="9"/>
      <c r="K185" s="3"/>
      <c r="L185" s="3"/>
      <c r="M185" s="3"/>
    </row>
    <row r="186" spans="1:13">
      <c r="A186" s="9"/>
      <c r="B186" s="3"/>
      <c r="C186" s="3"/>
      <c r="D186" s="3"/>
      <c r="E186" s="3"/>
      <c r="F186" s="3"/>
      <c r="G186" s="3"/>
      <c r="H186" s="9"/>
      <c r="I186" s="9"/>
      <c r="J186" s="9"/>
      <c r="K186" s="3"/>
      <c r="L186" s="3"/>
      <c r="M186" s="3"/>
    </row>
    <row r="187" spans="1:13">
      <c r="A187" s="41" t="s">
        <v>62</v>
      </c>
      <c r="B187" s="37" t="s">
        <v>401</v>
      </c>
      <c r="C187" s="37"/>
      <c r="D187" s="37"/>
      <c r="E187" s="37"/>
      <c r="F187" s="37" t="s">
        <v>401</v>
      </c>
      <c r="G187" s="40"/>
      <c r="H187" s="38">
        <v>38470</v>
      </c>
      <c r="I187" s="37" t="s">
        <v>673</v>
      </c>
      <c r="J187" s="9">
        <f>SUM(B187:H188)</f>
        <v>115305</v>
      </c>
      <c r="K187" s="3"/>
      <c r="L187" s="3"/>
      <c r="M187" s="3"/>
    </row>
    <row r="188" spans="1:13">
      <c r="A188" s="38"/>
      <c r="B188" s="40">
        <v>72134</v>
      </c>
      <c r="C188" s="40"/>
      <c r="D188" s="40"/>
      <c r="E188" s="40"/>
      <c r="F188" s="40">
        <v>4701</v>
      </c>
      <c r="G188" s="40"/>
      <c r="H188" s="38"/>
      <c r="I188" s="41"/>
      <c r="J188" s="9"/>
      <c r="K188" s="3"/>
      <c r="L188" s="3"/>
      <c r="M188" s="3"/>
    </row>
    <row r="189" spans="1:13">
      <c r="A189" s="9"/>
      <c r="B189" s="26"/>
      <c r="C189" s="27"/>
      <c r="D189" s="27"/>
      <c r="E189" s="27"/>
      <c r="F189" s="27"/>
      <c r="G189" s="9"/>
      <c r="H189" s="9"/>
      <c r="I189" s="9"/>
      <c r="J189" s="9"/>
      <c r="K189" s="3"/>
      <c r="L189" s="3"/>
      <c r="M189" s="3"/>
    </row>
    <row r="190" spans="1:13">
      <c r="A190" s="11" t="s">
        <v>64</v>
      </c>
      <c r="B190" s="8" t="s">
        <v>674</v>
      </c>
      <c r="C190" s="8" t="s">
        <v>111</v>
      </c>
      <c r="D190" s="8" t="s">
        <v>111</v>
      </c>
      <c r="E190" s="8" t="s">
        <v>111</v>
      </c>
      <c r="F190" s="8" t="s">
        <v>674</v>
      </c>
      <c r="G190" s="10"/>
      <c r="H190" s="9">
        <v>13312</v>
      </c>
      <c r="I190" s="8" t="s">
        <v>112</v>
      </c>
      <c r="J190" s="9">
        <f>SUM(B190:H191)</f>
        <v>155269</v>
      </c>
      <c r="K190" s="3"/>
      <c r="L190" s="3"/>
      <c r="M190" s="3"/>
    </row>
    <row r="191" spans="1:13">
      <c r="A191" s="9"/>
      <c r="B191" s="10">
        <v>61755</v>
      </c>
      <c r="C191" s="10">
        <v>63667</v>
      </c>
      <c r="D191" s="10">
        <v>5240</v>
      </c>
      <c r="E191" s="10">
        <v>5843</v>
      </c>
      <c r="F191" s="10">
        <v>5452</v>
      </c>
      <c r="G191" s="10"/>
      <c r="H191" s="9"/>
      <c r="I191" s="9"/>
      <c r="J191" s="9"/>
      <c r="K191" s="3"/>
      <c r="L191" s="3"/>
      <c r="M191" s="3"/>
    </row>
    <row r="192" spans="1:13">
      <c r="A192" s="9"/>
      <c r="B192" s="10"/>
      <c r="C192" s="10"/>
      <c r="D192" s="10"/>
      <c r="E192" s="10"/>
      <c r="F192" s="10"/>
      <c r="G192" s="10"/>
      <c r="H192" s="9"/>
      <c r="I192" s="9"/>
      <c r="J192" s="9"/>
      <c r="K192" s="3"/>
      <c r="L192" s="3"/>
      <c r="M192" s="3"/>
    </row>
    <row r="193" spans="1:13">
      <c r="A193" s="38" t="s">
        <v>91</v>
      </c>
      <c r="B193" s="40" t="s">
        <v>675</v>
      </c>
      <c r="C193" s="40" t="s">
        <v>506</v>
      </c>
      <c r="D193" s="40" t="s">
        <v>506</v>
      </c>
      <c r="E193" s="40" t="s">
        <v>506</v>
      </c>
      <c r="F193" s="40" t="s">
        <v>506</v>
      </c>
      <c r="G193" s="40"/>
      <c r="H193" s="38">
        <v>19540</v>
      </c>
      <c r="I193" s="40" t="s">
        <v>507</v>
      </c>
      <c r="J193" s="9">
        <f>SUM(B193:H194)</f>
        <v>135032</v>
      </c>
      <c r="K193" s="3"/>
      <c r="L193" s="3"/>
      <c r="M193" s="3"/>
    </row>
    <row r="194" spans="1:13">
      <c r="A194" s="38"/>
      <c r="B194" s="40">
        <v>36694</v>
      </c>
      <c r="C194" s="40">
        <v>62801</v>
      </c>
      <c r="D194" s="40">
        <v>5966</v>
      </c>
      <c r="E194" s="40">
        <v>6108</v>
      </c>
      <c r="F194" s="40">
        <v>3923</v>
      </c>
      <c r="G194" s="40"/>
      <c r="H194" s="38"/>
      <c r="I194" s="38"/>
      <c r="J194" s="9"/>
      <c r="K194" s="3"/>
      <c r="L194" s="3"/>
      <c r="M194" s="3"/>
    </row>
    <row r="195" spans="1:13">
      <c r="A195" s="28"/>
      <c r="B195" s="28"/>
      <c r="C195" s="28"/>
      <c r="D195" s="28"/>
      <c r="E195" s="28"/>
      <c r="F195" s="28"/>
      <c r="G195" s="28"/>
      <c r="H195" s="28"/>
      <c r="I195" s="28"/>
      <c r="J195" s="9"/>
      <c r="K195" s="3"/>
      <c r="L195" s="3"/>
      <c r="M195" s="3"/>
    </row>
    <row r="196" spans="1:13">
      <c r="A196" s="11" t="s">
        <v>66</v>
      </c>
      <c r="B196" s="3"/>
      <c r="C196" s="3"/>
      <c r="D196" s="3"/>
      <c r="E196" s="3"/>
      <c r="F196" s="3"/>
      <c r="G196" s="3"/>
      <c r="H196" s="3"/>
      <c r="I196" s="3"/>
      <c r="J196" s="9"/>
      <c r="K196" s="3"/>
      <c r="L196" s="3"/>
      <c r="M196" s="3"/>
    </row>
    <row r="197" spans="1:13">
      <c r="A197" s="17" t="s">
        <v>676</v>
      </c>
      <c r="B197" s="15"/>
      <c r="C197" s="15"/>
      <c r="D197" s="3"/>
      <c r="E197" s="3"/>
      <c r="F197" s="3"/>
      <c r="G197" s="3"/>
      <c r="H197" s="3"/>
      <c r="I197" s="3"/>
      <c r="J197" s="9"/>
      <c r="K197" s="3"/>
      <c r="L197" s="3"/>
      <c r="M197" s="3"/>
    </row>
    <row r="198" spans="1:13" s="68" customFormat="1">
      <c r="A198" s="17" t="s">
        <v>1277</v>
      </c>
      <c r="B198" s="15"/>
      <c r="C198" s="15"/>
      <c r="D198" s="3"/>
      <c r="E198" s="3"/>
      <c r="F198" s="3"/>
      <c r="G198" s="3"/>
      <c r="H198" s="3"/>
      <c r="I198" s="3"/>
      <c r="J198" s="9"/>
      <c r="K198" s="3"/>
      <c r="L198" s="3"/>
      <c r="M198" s="3"/>
    </row>
    <row r="199" spans="1:13" s="68" customFormat="1">
      <c r="A199" s="17" t="s">
        <v>1278</v>
      </c>
      <c r="B199" s="15"/>
      <c r="C199" s="15"/>
      <c r="D199" s="3"/>
      <c r="E199" s="3"/>
      <c r="F199" s="3"/>
      <c r="G199" s="3"/>
      <c r="H199" s="3"/>
      <c r="I199" s="3"/>
      <c r="J199" s="9"/>
      <c r="K199" s="3"/>
      <c r="L199" s="3"/>
      <c r="M199" s="3"/>
    </row>
    <row r="200" spans="1:13">
      <c r="A200" s="9"/>
      <c r="B200" s="3"/>
      <c r="C200" s="3"/>
      <c r="D200" s="3"/>
      <c r="E200" s="3"/>
      <c r="F200" s="3"/>
      <c r="G200" s="3"/>
      <c r="H200" s="3"/>
      <c r="I200" s="3"/>
      <c r="J200" s="9"/>
      <c r="K200" s="3"/>
      <c r="L200" s="3"/>
      <c r="M200" s="3"/>
    </row>
    <row r="201" spans="1:13">
      <c r="A201" s="72" t="s">
        <v>677</v>
      </c>
      <c r="B201" s="3"/>
      <c r="C201" s="3"/>
      <c r="D201" s="3"/>
      <c r="E201" s="3"/>
      <c r="F201" s="3"/>
      <c r="G201" s="3"/>
      <c r="H201" s="3"/>
      <c r="I201" s="3"/>
      <c r="J201" s="9"/>
      <c r="K201" s="3"/>
      <c r="L201" s="3"/>
      <c r="M201" s="3"/>
    </row>
    <row r="202" spans="1:13">
      <c r="A202" s="9"/>
      <c r="B202" s="3"/>
      <c r="C202" s="3"/>
      <c r="D202" s="3"/>
      <c r="E202" s="3"/>
      <c r="F202" s="3"/>
      <c r="G202" s="3"/>
      <c r="H202" s="3"/>
      <c r="I202" s="3"/>
      <c r="J202" s="9"/>
      <c r="K202" s="3"/>
      <c r="L202" s="3"/>
      <c r="M202" s="3"/>
    </row>
    <row r="203" spans="1:13">
      <c r="A203" s="9"/>
      <c r="B203" s="3"/>
      <c r="C203" s="3"/>
      <c r="D203" s="3"/>
      <c r="E203" s="3"/>
      <c r="F203" s="3"/>
      <c r="G203" s="3"/>
      <c r="H203" s="3"/>
      <c r="I203" s="3"/>
      <c r="J203" s="9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9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9"/>
      <c r="K205" s="3"/>
      <c r="L205" s="3"/>
      <c r="M205" s="3"/>
    </row>
    <row r="206" spans="1:13">
      <c r="A206" s="1"/>
      <c r="B206" s="1"/>
      <c r="C206" s="1"/>
      <c r="D206" s="1"/>
      <c r="E206" s="1"/>
      <c r="F206" s="1"/>
      <c r="G206" s="1"/>
      <c r="H206" s="1"/>
      <c r="I206" s="1"/>
      <c r="J206" s="49"/>
      <c r="K206" s="1"/>
    </row>
    <row r="207" spans="1:13">
      <c r="A207" s="1"/>
      <c r="B207" s="1"/>
      <c r="C207" s="1"/>
      <c r="D207" s="1"/>
      <c r="E207" s="1"/>
      <c r="F207" s="1"/>
      <c r="G207" s="1"/>
      <c r="H207" s="1"/>
      <c r="I207" s="1"/>
      <c r="J207" s="49"/>
      <c r="K207" s="1"/>
    </row>
  </sheetData>
  <hyperlinks>
    <hyperlink ref="A201" r:id="rId1"/>
  </hyperlink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3"/>
  <sheetViews>
    <sheetView workbookViewId="0"/>
  </sheetViews>
  <sheetFormatPr defaultColWidth="15.77734375" defaultRowHeight="15.75"/>
  <cols>
    <col min="1" max="1" width="17.77734375" customWidth="1"/>
    <col min="9" max="9" width="25.77734375" customWidth="1"/>
  </cols>
  <sheetData>
    <row r="1" spans="1:11" ht="20.25">
      <c r="A1" s="29" t="s">
        <v>0</v>
      </c>
      <c r="B1" s="5"/>
      <c r="C1" s="5"/>
      <c r="D1" s="5"/>
      <c r="E1" s="5"/>
      <c r="F1" s="5"/>
      <c r="G1" s="4"/>
      <c r="H1" s="3"/>
      <c r="I1" s="3"/>
      <c r="J1" s="3"/>
      <c r="K1" s="3"/>
    </row>
    <row r="2" spans="1:11" ht="20.25">
      <c r="A2" s="30" t="s">
        <v>754</v>
      </c>
      <c r="B2" s="5"/>
      <c r="C2" s="5"/>
      <c r="D2" s="3"/>
      <c r="E2" s="3"/>
      <c r="F2" s="3"/>
      <c r="G2" s="3"/>
      <c r="H2" s="3"/>
      <c r="I2" s="3"/>
      <c r="J2" s="3"/>
      <c r="K2" s="3"/>
    </row>
    <row r="3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53"/>
      <c r="B4" s="54"/>
      <c r="C4" s="54"/>
      <c r="D4" s="54"/>
      <c r="E4" s="54"/>
      <c r="F4" s="54"/>
      <c r="G4" s="54"/>
      <c r="H4" s="54" t="s">
        <v>601</v>
      </c>
      <c r="I4" s="53"/>
      <c r="J4" s="3"/>
      <c r="K4" s="3"/>
    </row>
    <row r="5" spans="1:11" ht="29.25">
      <c r="A5" s="55" t="s">
        <v>1</v>
      </c>
      <c r="B5" s="56" t="s">
        <v>73</v>
      </c>
      <c r="C5" s="57" t="s">
        <v>2</v>
      </c>
      <c r="D5" s="57" t="s">
        <v>80</v>
      </c>
      <c r="E5" s="57" t="s">
        <v>101</v>
      </c>
      <c r="F5" s="59" t="s">
        <v>196</v>
      </c>
      <c r="G5" s="57" t="s">
        <v>195</v>
      </c>
      <c r="H5" s="58" t="s">
        <v>602</v>
      </c>
      <c r="I5" s="57" t="s">
        <v>3</v>
      </c>
      <c r="J5" s="3"/>
      <c r="K5" s="3"/>
    </row>
    <row r="6" spans="1:11">
      <c r="A6" s="3"/>
      <c r="B6" s="6"/>
      <c r="C6" s="6"/>
      <c r="D6" s="6"/>
      <c r="E6" s="6"/>
      <c r="F6" s="6"/>
      <c r="G6" s="6"/>
      <c r="H6" s="6"/>
      <c r="I6" s="3"/>
      <c r="J6" s="3"/>
      <c r="K6" s="3"/>
    </row>
    <row r="7" spans="1:11">
      <c r="A7" s="7" t="s">
        <v>4</v>
      </c>
      <c r="B7" s="8" t="s">
        <v>683</v>
      </c>
      <c r="C7" s="8" t="s">
        <v>684</v>
      </c>
      <c r="D7" s="8" t="s">
        <v>684</v>
      </c>
      <c r="E7" s="8" t="s">
        <v>74</v>
      </c>
      <c r="F7" s="8"/>
      <c r="G7" s="8" t="s">
        <v>516</v>
      </c>
      <c r="H7" s="9">
        <v>6118</v>
      </c>
      <c r="I7" s="8" t="s">
        <v>685</v>
      </c>
      <c r="J7" s="3"/>
      <c r="K7" s="3"/>
    </row>
    <row r="8" spans="1:11">
      <c r="A8" s="3"/>
      <c r="B8" s="10">
        <v>31503</v>
      </c>
      <c r="C8" s="10">
        <v>43545</v>
      </c>
      <c r="D8" s="10">
        <v>5548</v>
      </c>
      <c r="E8" s="10">
        <v>4959</v>
      </c>
      <c r="F8" s="10"/>
      <c r="G8" s="10">
        <v>919</v>
      </c>
      <c r="H8" s="9"/>
      <c r="I8" s="11"/>
      <c r="J8" s="3"/>
      <c r="K8" s="3"/>
    </row>
    <row r="9" spans="1:11">
      <c r="A9" s="3"/>
      <c r="B9" s="9"/>
      <c r="C9" s="9"/>
      <c r="D9" s="9"/>
      <c r="E9" s="9"/>
      <c r="F9" s="9"/>
      <c r="G9" s="9"/>
      <c r="H9" s="9"/>
      <c r="I9" s="9"/>
      <c r="J9" s="3"/>
      <c r="K9" s="3"/>
    </row>
    <row r="10" spans="1:11">
      <c r="A10" s="36" t="s">
        <v>6</v>
      </c>
      <c r="B10" s="37" t="s">
        <v>686</v>
      </c>
      <c r="C10" s="37" t="s">
        <v>81</v>
      </c>
      <c r="D10" s="37" t="s">
        <v>81</v>
      </c>
      <c r="E10" s="37" t="s">
        <v>81</v>
      </c>
      <c r="F10" s="37" t="s">
        <v>686</v>
      </c>
      <c r="G10" s="37"/>
      <c r="H10" s="38">
        <v>3682</v>
      </c>
      <c r="I10" s="37" t="s">
        <v>82</v>
      </c>
      <c r="J10" s="3"/>
      <c r="K10" s="3"/>
    </row>
    <row r="11" spans="1:11">
      <c r="A11" s="39"/>
      <c r="B11" s="40">
        <v>31667</v>
      </c>
      <c r="C11" s="40">
        <v>39531</v>
      </c>
      <c r="D11" s="40">
        <v>4000</v>
      </c>
      <c r="E11" s="40">
        <v>4927</v>
      </c>
      <c r="F11" s="40">
        <v>1517</v>
      </c>
      <c r="G11" s="40"/>
      <c r="H11" s="38"/>
      <c r="I11" s="41"/>
      <c r="J11" s="3"/>
      <c r="K11" s="3"/>
    </row>
    <row r="12" spans="1:11">
      <c r="A12" s="3"/>
      <c r="B12" s="9"/>
      <c r="C12" s="9"/>
      <c r="D12" s="9"/>
      <c r="E12" s="9"/>
      <c r="F12" s="9"/>
      <c r="G12" s="9"/>
      <c r="H12" s="9"/>
      <c r="I12" s="9"/>
      <c r="J12" s="3"/>
      <c r="K12" s="3"/>
    </row>
    <row r="13" spans="1:11">
      <c r="A13" s="7" t="s">
        <v>7</v>
      </c>
      <c r="B13" s="8" t="s">
        <v>687</v>
      </c>
      <c r="C13" s="8" t="s">
        <v>604</v>
      </c>
      <c r="D13" s="8" t="s">
        <v>604</v>
      </c>
      <c r="E13" s="8" t="s">
        <v>605</v>
      </c>
      <c r="F13" s="8" t="s">
        <v>755</v>
      </c>
      <c r="G13" s="8"/>
      <c r="H13" s="9">
        <v>5004</v>
      </c>
      <c r="I13" s="8" t="s">
        <v>688</v>
      </c>
      <c r="J13" s="3"/>
      <c r="K13" s="3"/>
    </row>
    <row r="14" spans="1:11">
      <c r="A14" s="3"/>
      <c r="B14" s="10">
        <v>27705</v>
      </c>
      <c r="C14" s="10">
        <v>26701</v>
      </c>
      <c r="D14" s="10">
        <v>3174</v>
      </c>
      <c r="E14" s="10">
        <v>3386</v>
      </c>
      <c r="F14" s="10">
        <v>1345</v>
      </c>
      <c r="G14" s="10"/>
      <c r="H14" s="9"/>
      <c r="I14" s="11"/>
      <c r="J14" s="3"/>
      <c r="K14" s="3"/>
    </row>
    <row r="15" spans="1:11">
      <c r="A15" s="3"/>
      <c r="B15" s="9"/>
      <c r="C15" s="9"/>
      <c r="D15" s="9"/>
      <c r="E15" s="9"/>
      <c r="F15" s="9"/>
      <c r="G15" s="9"/>
      <c r="H15" s="9"/>
      <c r="I15" s="9"/>
      <c r="J15" s="3"/>
      <c r="K15" s="3"/>
    </row>
    <row r="16" spans="1:11">
      <c r="A16" s="36" t="s">
        <v>9</v>
      </c>
      <c r="B16" s="37" t="s">
        <v>493</v>
      </c>
      <c r="C16" s="37" t="s">
        <v>520</v>
      </c>
      <c r="D16" s="37"/>
      <c r="E16" s="37" t="s">
        <v>482</v>
      </c>
      <c r="F16" s="37" t="s">
        <v>493</v>
      </c>
      <c r="G16" s="37"/>
      <c r="H16" s="38">
        <v>7852</v>
      </c>
      <c r="I16" s="37" t="s">
        <v>521</v>
      </c>
      <c r="J16" s="3"/>
      <c r="K16" s="3"/>
    </row>
    <row r="17" spans="1:11">
      <c r="A17" s="39"/>
      <c r="B17" s="40">
        <v>24132</v>
      </c>
      <c r="C17" s="40">
        <v>31740</v>
      </c>
      <c r="D17" s="40"/>
      <c r="E17" s="40">
        <v>4202</v>
      </c>
      <c r="F17" s="40">
        <v>1310</v>
      </c>
      <c r="G17" s="40"/>
      <c r="H17" s="38"/>
      <c r="I17" s="41"/>
      <c r="J17" s="3"/>
      <c r="K17" s="3"/>
    </row>
    <row r="18" spans="1:11">
      <c r="A18" s="3"/>
      <c r="B18" s="9"/>
      <c r="C18" s="9"/>
      <c r="D18" s="9"/>
      <c r="E18" s="9"/>
      <c r="F18" s="9"/>
      <c r="G18" s="9"/>
      <c r="H18" s="9"/>
      <c r="I18" s="9"/>
      <c r="J18" s="3"/>
      <c r="K18" s="3"/>
    </row>
    <row r="19" spans="1:11">
      <c r="A19" s="7" t="s">
        <v>11</v>
      </c>
      <c r="B19" s="10" t="s">
        <v>689</v>
      </c>
      <c r="C19" s="10" t="s">
        <v>12</v>
      </c>
      <c r="D19" s="10" t="s">
        <v>12</v>
      </c>
      <c r="E19" s="10" t="s">
        <v>75</v>
      </c>
      <c r="F19" s="10"/>
      <c r="G19" s="10"/>
      <c r="H19" s="10">
        <v>7661</v>
      </c>
      <c r="I19" s="10" t="s">
        <v>13</v>
      </c>
      <c r="J19" s="3"/>
      <c r="K19" s="3"/>
    </row>
    <row r="20" spans="1:11">
      <c r="A20" s="3"/>
      <c r="B20" s="10">
        <v>37223</v>
      </c>
      <c r="C20" s="10">
        <v>41137</v>
      </c>
      <c r="D20" s="10">
        <v>4120</v>
      </c>
      <c r="E20" s="10">
        <v>4464</v>
      </c>
      <c r="F20" s="10"/>
      <c r="G20" s="9"/>
      <c r="H20" s="9"/>
      <c r="I20" s="9"/>
      <c r="J20" s="3"/>
      <c r="K20" s="3"/>
    </row>
    <row r="21" spans="1:11">
      <c r="A21" s="3"/>
      <c r="B21" s="3"/>
      <c r="C21" s="3"/>
      <c r="D21" s="3"/>
      <c r="E21" s="3"/>
      <c r="F21" s="3"/>
      <c r="G21" s="3"/>
      <c r="H21" s="9"/>
      <c r="I21" s="9"/>
      <c r="J21" s="3"/>
      <c r="K21" s="3"/>
    </row>
    <row r="22" spans="1:11">
      <c r="A22" s="36" t="s">
        <v>15</v>
      </c>
      <c r="B22" s="40" t="s">
        <v>690</v>
      </c>
      <c r="C22" s="40" t="s">
        <v>16</v>
      </c>
      <c r="D22" s="40" t="s">
        <v>16</v>
      </c>
      <c r="E22" s="40" t="s">
        <v>76</v>
      </c>
      <c r="F22" s="40"/>
      <c r="G22" s="40"/>
      <c r="H22" s="40">
        <v>9114</v>
      </c>
      <c r="I22" s="40" t="s">
        <v>293</v>
      </c>
      <c r="J22" s="3"/>
      <c r="K22" s="3"/>
    </row>
    <row r="23" spans="1:11">
      <c r="A23" s="39"/>
      <c r="B23" s="40">
        <v>29656</v>
      </c>
      <c r="C23" s="40">
        <v>33754</v>
      </c>
      <c r="D23" s="40">
        <v>2643</v>
      </c>
      <c r="E23" s="40">
        <v>3880</v>
      </c>
      <c r="F23" s="40"/>
      <c r="G23" s="40"/>
      <c r="H23" s="38"/>
      <c r="I23" s="38"/>
      <c r="J23" s="3"/>
      <c r="K23" s="3"/>
    </row>
    <row r="24" spans="1:11">
      <c r="A24" s="3"/>
      <c r="B24" s="3"/>
      <c r="C24" s="3"/>
      <c r="D24" s="3"/>
      <c r="E24" s="3"/>
      <c r="F24" s="3"/>
      <c r="G24" s="9"/>
      <c r="H24" s="9"/>
      <c r="I24" s="9"/>
      <c r="J24" s="3"/>
      <c r="K24" s="3"/>
    </row>
    <row r="25" spans="1:11">
      <c r="A25" s="7" t="s">
        <v>18</v>
      </c>
      <c r="B25" s="8" t="s">
        <v>691</v>
      </c>
      <c r="C25" s="8" t="s">
        <v>692</v>
      </c>
      <c r="D25" s="8" t="s">
        <v>692</v>
      </c>
      <c r="E25" s="8" t="s">
        <v>692</v>
      </c>
      <c r="F25" s="8"/>
      <c r="G25" s="10"/>
      <c r="H25" s="10">
        <v>7590</v>
      </c>
      <c r="I25" s="8" t="s">
        <v>693</v>
      </c>
      <c r="J25" s="3"/>
      <c r="K25" s="3"/>
    </row>
    <row r="26" spans="1:11">
      <c r="A26" s="3"/>
      <c r="B26" s="10">
        <v>32295</v>
      </c>
      <c r="C26" s="10">
        <v>37034</v>
      </c>
      <c r="D26" s="10">
        <v>3704</v>
      </c>
      <c r="E26" s="10">
        <v>3635</v>
      </c>
      <c r="F26" s="10"/>
      <c r="G26" s="10"/>
      <c r="H26" s="9"/>
      <c r="I26" s="11"/>
      <c r="J26" s="3"/>
      <c r="K26" s="3"/>
    </row>
    <row r="27" spans="1:11">
      <c r="A27" s="3"/>
      <c r="B27" s="3"/>
      <c r="C27" s="3"/>
      <c r="D27" s="3"/>
      <c r="E27" s="3"/>
      <c r="F27" s="3"/>
      <c r="G27" s="3"/>
      <c r="H27" s="9"/>
      <c r="I27" s="9"/>
      <c r="J27" s="3"/>
      <c r="K27" s="3"/>
    </row>
    <row r="28" spans="1:11" ht="17.25">
      <c r="A28" s="7" t="s">
        <v>752</v>
      </c>
      <c r="B28" s="18" t="s">
        <v>482</v>
      </c>
      <c r="C28" s="18" t="s">
        <v>694</v>
      </c>
      <c r="D28" s="18" t="s">
        <v>694</v>
      </c>
      <c r="E28" s="18" t="s">
        <v>694</v>
      </c>
      <c r="F28" s="18" t="s">
        <v>482</v>
      </c>
      <c r="G28" s="18"/>
      <c r="H28" s="9">
        <v>134</v>
      </c>
      <c r="I28" s="10" t="s">
        <v>611</v>
      </c>
      <c r="J28" s="3"/>
      <c r="K28" s="3"/>
    </row>
    <row r="29" spans="1:11">
      <c r="A29" s="3"/>
      <c r="B29" s="9">
        <v>26103</v>
      </c>
      <c r="C29" s="9">
        <v>19827</v>
      </c>
      <c r="D29" s="9">
        <v>1800</v>
      </c>
      <c r="E29" s="9">
        <v>2368</v>
      </c>
      <c r="F29" s="9">
        <v>1529</v>
      </c>
      <c r="G29" s="9"/>
      <c r="H29" s="9"/>
      <c r="I29" s="9"/>
      <c r="J29" s="3"/>
      <c r="K29" s="3"/>
    </row>
    <row r="30" spans="1:11">
      <c r="A30" s="3"/>
      <c r="B30" s="3"/>
      <c r="C30" s="3"/>
      <c r="D30" s="3"/>
      <c r="E30" s="3"/>
      <c r="F30" s="3"/>
      <c r="G30" s="3"/>
      <c r="H30" s="9"/>
      <c r="I30" s="9"/>
      <c r="J30" s="3"/>
      <c r="K30" s="3"/>
    </row>
    <row r="31" spans="1:11">
      <c r="A31" s="36" t="s">
        <v>21</v>
      </c>
      <c r="B31" s="37" t="s">
        <v>190</v>
      </c>
      <c r="C31" s="37" t="s">
        <v>455</v>
      </c>
      <c r="D31" s="37" t="s">
        <v>455</v>
      </c>
      <c r="E31" s="37" t="s">
        <v>455</v>
      </c>
      <c r="F31" s="37"/>
      <c r="G31" s="37"/>
      <c r="H31" s="40">
        <v>7509</v>
      </c>
      <c r="I31" s="37" t="s">
        <v>457</v>
      </c>
      <c r="J31" s="3"/>
      <c r="K31" s="3"/>
    </row>
    <row r="32" spans="1:11">
      <c r="A32" s="39"/>
      <c r="B32" s="40">
        <v>29789</v>
      </c>
      <c r="C32" s="40">
        <v>39391</v>
      </c>
      <c r="D32" s="40">
        <v>3362</v>
      </c>
      <c r="E32" s="40">
        <v>4053</v>
      </c>
      <c r="F32" s="40"/>
      <c r="G32" s="40"/>
      <c r="H32" s="38"/>
      <c r="I32" s="41"/>
      <c r="J32" s="3"/>
      <c r="K32" s="3"/>
    </row>
    <row r="33" spans="1:11">
      <c r="A33" s="3"/>
      <c r="B33" s="3"/>
      <c r="C33" s="3"/>
      <c r="D33" s="3"/>
      <c r="E33" s="3"/>
      <c r="F33" s="3"/>
      <c r="G33" s="9"/>
      <c r="H33" s="9"/>
      <c r="I33" s="9"/>
      <c r="J33" s="3"/>
      <c r="K33" s="3"/>
    </row>
    <row r="34" spans="1:11">
      <c r="A34" s="7" t="s">
        <v>23</v>
      </c>
      <c r="B34" s="8" t="s">
        <v>695</v>
      </c>
      <c r="C34" s="8" t="s">
        <v>378</v>
      </c>
      <c r="D34" s="8" t="s">
        <v>379</v>
      </c>
      <c r="E34" s="8" t="s">
        <v>379</v>
      </c>
      <c r="F34" s="8" t="s">
        <v>695</v>
      </c>
      <c r="G34" s="8"/>
      <c r="H34" s="10">
        <v>5348</v>
      </c>
      <c r="I34" s="8" t="s">
        <v>381</v>
      </c>
      <c r="J34" s="3"/>
      <c r="K34" s="3"/>
    </row>
    <row r="35" spans="1:11">
      <c r="A35" s="3"/>
      <c r="B35" s="10">
        <v>29415</v>
      </c>
      <c r="C35" s="10">
        <v>45830</v>
      </c>
      <c r="D35" s="10">
        <v>3904</v>
      </c>
      <c r="E35" s="10">
        <v>3811</v>
      </c>
      <c r="F35" s="10">
        <v>1357</v>
      </c>
      <c r="G35" s="10"/>
      <c r="H35" s="9"/>
      <c r="I35" s="11"/>
      <c r="J35" s="3"/>
      <c r="K35" s="3"/>
    </row>
    <row r="36" spans="1:11">
      <c r="A36" s="3"/>
      <c r="B36" s="3"/>
      <c r="C36" s="3"/>
      <c r="D36" s="3"/>
      <c r="E36" s="3"/>
      <c r="F36" s="3"/>
      <c r="G36" s="3"/>
      <c r="H36" s="3"/>
      <c r="I36" s="9"/>
      <c r="J36" s="3"/>
      <c r="K36" s="3"/>
    </row>
    <row r="37" spans="1:11">
      <c r="A37" s="36" t="s">
        <v>24</v>
      </c>
      <c r="B37" s="37" t="s">
        <v>526</v>
      </c>
      <c r="C37" s="42" t="s">
        <v>696</v>
      </c>
      <c r="D37" s="37"/>
      <c r="E37" s="37" t="s">
        <v>696</v>
      </c>
      <c r="F37" s="37"/>
      <c r="G37" s="37"/>
      <c r="H37" s="40">
        <v>13082</v>
      </c>
      <c r="I37" s="37" t="s">
        <v>527</v>
      </c>
      <c r="J37" s="3"/>
      <c r="K37" s="3"/>
    </row>
    <row r="38" spans="1:11">
      <c r="A38" s="39"/>
      <c r="B38" s="40">
        <v>34771</v>
      </c>
      <c r="C38" s="38">
        <v>3210</v>
      </c>
      <c r="D38" s="40"/>
      <c r="E38" s="40">
        <v>587</v>
      </c>
      <c r="F38" s="40"/>
      <c r="G38" s="40"/>
      <c r="H38" s="38"/>
      <c r="I38" s="41"/>
      <c r="J38" s="3"/>
      <c r="K38" s="3"/>
    </row>
    <row r="39" spans="1:11">
      <c r="A39" s="3"/>
      <c r="B39" s="3"/>
      <c r="C39" s="3"/>
      <c r="D39" s="3"/>
      <c r="E39" s="3"/>
      <c r="F39" s="3"/>
      <c r="G39" s="3"/>
      <c r="H39" s="9"/>
      <c r="I39" s="9"/>
      <c r="J39" s="3"/>
      <c r="K39" s="3"/>
    </row>
    <row r="40" spans="1:11">
      <c r="A40" s="3" t="s">
        <v>26</v>
      </c>
      <c r="B40" s="10" t="s">
        <v>697</v>
      </c>
      <c r="C40" s="10" t="s">
        <v>528</v>
      </c>
      <c r="D40" s="10" t="s">
        <v>528</v>
      </c>
      <c r="E40" s="10" t="s">
        <v>528</v>
      </c>
      <c r="F40" s="10" t="s">
        <v>697</v>
      </c>
      <c r="G40" s="10"/>
      <c r="H40" s="9">
        <v>5610</v>
      </c>
      <c r="I40" s="8" t="s">
        <v>614</v>
      </c>
      <c r="J40" s="3"/>
      <c r="K40" s="3"/>
    </row>
    <row r="41" spans="1:11">
      <c r="A41" s="7"/>
      <c r="B41" s="11">
        <v>20265</v>
      </c>
      <c r="C41" s="10">
        <v>23910</v>
      </c>
      <c r="D41" s="10">
        <v>4374</v>
      </c>
      <c r="E41" s="10">
        <v>2735</v>
      </c>
      <c r="F41" s="10">
        <v>1018</v>
      </c>
      <c r="G41" s="11"/>
      <c r="H41" s="9"/>
      <c r="I41" s="11"/>
      <c r="J41" s="3"/>
      <c r="K41" s="3"/>
    </row>
    <row r="42" spans="1:11">
      <c r="A42" s="3"/>
      <c r="B42" s="3"/>
      <c r="C42" s="3"/>
      <c r="D42" s="3"/>
      <c r="E42" s="3"/>
      <c r="F42" s="3"/>
      <c r="G42" s="3"/>
      <c r="H42" s="9"/>
      <c r="I42" s="9"/>
      <c r="J42" s="3"/>
      <c r="K42" s="3"/>
    </row>
    <row r="43" spans="1:11">
      <c r="A43" s="39" t="s">
        <v>28</v>
      </c>
      <c r="B43" s="40" t="s">
        <v>615</v>
      </c>
      <c r="C43" s="40"/>
      <c r="D43" s="40"/>
      <c r="E43" s="40"/>
      <c r="F43" s="40"/>
      <c r="G43" s="40"/>
      <c r="H43" s="38">
        <v>14465</v>
      </c>
      <c r="I43" s="37" t="s">
        <v>617</v>
      </c>
      <c r="J43" s="3"/>
      <c r="K43" s="3"/>
    </row>
    <row r="44" spans="1:11">
      <c r="A44" s="36"/>
      <c r="B44" s="40">
        <v>27836</v>
      </c>
      <c r="C44" s="38"/>
      <c r="D44" s="40"/>
      <c r="E44" s="40"/>
      <c r="F44" s="40"/>
      <c r="G44" s="40"/>
      <c r="H44" s="38"/>
      <c r="I44" s="41"/>
      <c r="J44" s="3"/>
      <c r="K44" s="3"/>
    </row>
    <row r="45" spans="1:11">
      <c r="A45" s="3"/>
      <c r="B45" s="3"/>
      <c r="C45" s="3"/>
      <c r="D45" s="3"/>
      <c r="E45" s="3"/>
      <c r="F45" s="3"/>
      <c r="G45" s="3"/>
      <c r="H45" s="3"/>
      <c r="I45" s="9"/>
      <c r="J45" s="3"/>
      <c r="K45" s="3"/>
    </row>
    <row r="46" spans="1:11">
      <c r="A46" s="3" t="s">
        <v>29</v>
      </c>
      <c r="B46" s="10" t="s">
        <v>698</v>
      </c>
      <c r="C46" s="10"/>
      <c r="D46" s="10" t="s">
        <v>698</v>
      </c>
      <c r="E46" s="10"/>
      <c r="F46" s="10"/>
      <c r="G46" s="10"/>
      <c r="H46" s="9">
        <v>10382</v>
      </c>
      <c r="I46" s="8" t="s">
        <v>699</v>
      </c>
      <c r="J46" s="3"/>
      <c r="K46" s="3"/>
    </row>
    <row r="47" spans="1:11">
      <c r="A47" s="7"/>
      <c r="B47" s="10">
        <v>21479</v>
      </c>
      <c r="C47" s="9"/>
      <c r="D47" s="10">
        <v>857</v>
      </c>
      <c r="E47" s="10"/>
      <c r="F47" s="10"/>
      <c r="G47" s="10"/>
      <c r="H47" s="9"/>
      <c r="I47" s="11"/>
      <c r="J47" s="3"/>
      <c r="K47" s="3"/>
    </row>
    <row r="48" spans="1:11">
      <c r="A48" s="7"/>
      <c r="B48" s="3"/>
      <c r="C48" s="3"/>
      <c r="D48" s="3"/>
      <c r="E48" s="3"/>
      <c r="F48" s="3"/>
      <c r="G48" s="3"/>
      <c r="H48" s="9"/>
      <c r="I48" s="11"/>
      <c r="J48" s="3"/>
      <c r="K48" s="3"/>
    </row>
    <row r="49" spans="1:11">
      <c r="A49" s="39" t="s">
        <v>32</v>
      </c>
      <c r="B49" s="37" t="s">
        <v>462</v>
      </c>
      <c r="C49" s="37"/>
      <c r="D49" s="37"/>
      <c r="E49" s="37"/>
      <c r="F49" s="37" t="s">
        <v>462</v>
      </c>
      <c r="G49" s="37"/>
      <c r="H49" s="38">
        <v>15392</v>
      </c>
      <c r="I49" s="40" t="s">
        <v>463</v>
      </c>
      <c r="J49" s="3"/>
      <c r="K49" s="3"/>
    </row>
    <row r="50" spans="1:11">
      <c r="A50" s="39"/>
      <c r="B50" s="40">
        <v>35129</v>
      </c>
      <c r="C50" s="38"/>
      <c r="D50" s="40"/>
      <c r="E50" s="40"/>
      <c r="F50" s="40">
        <v>2199</v>
      </c>
      <c r="G50" s="38"/>
      <c r="H50" s="38"/>
      <c r="I50" s="41"/>
      <c r="J50" s="3"/>
      <c r="K50" s="3"/>
    </row>
    <row r="51" spans="1:11">
      <c r="A51" s="7"/>
      <c r="B51" s="3"/>
      <c r="C51" s="3"/>
      <c r="D51" s="3"/>
      <c r="E51" s="3"/>
      <c r="F51" s="3"/>
      <c r="G51" s="3"/>
      <c r="H51" s="9"/>
      <c r="I51" s="11"/>
      <c r="J51" s="3"/>
      <c r="K51" s="3"/>
    </row>
    <row r="52" spans="1:11">
      <c r="A52" s="3" t="s">
        <v>33</v>
      </c>
      <c r="B52" s="8" t="s">
        <v>700</v>
      </c>
      <c r="C52" s="8" t="s">
        <v>620</v>
      </c>
      <c r="D52" s="8" t="s">
        <v>620</v>
      </c>
      <c r="E52" s="8" t="s">
        <v>621</v>
      </c>
      <c r="F52" s="8"/>
      <c r="G52" s="10"/>
      <c r="H52" s="9">
        <v>5647</v>
      </c>
      <c r="I52" s="10" t="s">
        <v>701</v>
      </c>
      <c r="J52" s="3"/>
      <c r="K52" s="3"/>
    </row>
    <row r="53" spans="1:11">
      <c r="A53" s="3"/>
      <c r="B53" s="9">
        <v>17046</v>
      </c>
      <c r="C53" s="9">
        <v>14235</v>
      </c>
      <c r="D53" s="10">
        <v>1621</v>
      </c>
      <c r="E53" s="10">
        <v>2084</v>
      </c>
      <c r="F53" s="10"/>
      <c r="G53" s="10"/>
      <c r="H53" s="9"/>
      <c r="I53" s="11"/>
      <c r="J53" s="3"/>
      <c r="K53" s="3"/>
    </row>
    <row r="54" spans="1:11">
      <c r="A54" s="3"/>
      <c r="B54" s="3"/>
      <c r="C54" s="3"/>
      <c r="D54" s="3"/>
      <c r="E54" s="3"/>
      <c r="F54" s="3"/>
      <c r="G54" s="3"/>
      <c r="H54" s="3"/>
      <c r="I54" s="11"/>
      <c r="J54" s="3"/>
      <c r="K54" s="3"/>
    </row>
    <row r="55" spans="1:11">
      <c r="A55" s="36" t="s">
        <v>35</v>
      </c>
      <c r="B55" s="37" t="s">
        <v>36</v>
      </c>
      <c r="C55" s="37"/>
      <c r="D55" s="37"/>
      <c r="E55" s="37"/>
      <c r="F55" s="37" t="s">
        <v>120</v>
      </c>
      <c r="G55" s="37"/>
      <c r="H55" s="38">
        <v>16573</v>
      </c>
      <c r="I55" s="37" t="s">
        <v>77</v>
      </c>
      <c r="J55" s="3"/>
      <c r="K55" s="3"/>
    </row>
    <row r="56" spans="1:11">
      <c r="A56" s="39"/>
      <c r="B56" s="40">
        <v>34157</v>
      </c>
      <c r="C56" s="38"/>
      <c r="D56" s="38"/>
      <c r="E56" s="38"/>
      <c r="F56" s="38">
        <v>1977</v>
      </c>
      <c r="G56" s="40"/>
      <c r="H56" s="38"/>
      <c r="I56" s="38"/>
      <c r="J56" s="3"/>
      <c r="K56" s="3"/>
    </row>
    <row r="57" spans="1:11">
      <c r="A57" s="3"/>
      <c r="B57" s="3"/>
      <c r="C57" s="3"/>
      <c r="D57" s="3"/>
      <c r="E57" s="3"/>
      <c r="F57" s="3"/>
      <c r="G57" s="3"/>
      <c r="H57" s="9"/>
      <c r="I57" s="11"/>
      <c r="J57" s="3"/>
      <c r="K57" s="3"/>
    </row>
    <row r="58" spans="1:11">
      <c r="A58" s="7" t="s">
        <v>38</v>
      </c>
      <c r="B58" s="8" t="s">
        <v>702</v>
      </c>
      <c r="C58" s="8" t="s">
        <v>703</v>
      </c>
      <c r="D58" s="3"/>
      <c r="E58" s="8" t="s">
        <v>703</v>
      </c>
      <c r="F58" s="8" t="s">
        <v>702</v>
      </c>
      <c r="G58" s="8"/>
      <c r="H58" s="9">
        <v>9450</v>
      </c>
      <c r="I58" s="8" t="s">
        <v>310</v>
      </c>
      <c r="J58" s="3"/>
      <c r="K58" s="3"/>
    </row>
    <row r="59" spans="1:11">
      <c r="A59" s="3"/>
      <c r="B59" s="10">
        <v>23085</v>
      </c>
      <c r="C59" s="9">
        <v>1990</v>
      </c>
      <c r="D59" s="3"/>
      <c r="E59" s="10">
        <v>375</v>
      </c>
      <c r="F59" s="10">
        <v>2303</v>
      </c>
      <c r="G59" s="11"/>
      <c r="H59" s="9"/>
      <c r="I59" s="9"/>
      <c r="J59" s="3"/>
      <c r="K59" s="3"/>
    </row>
    <row r="60" spans="1:11">
      <c r="A60" s="3"/>
      <c r="B60" s="3"/>
      <c r="C60" s="3"/>
      <c r="D60" s="3"/>
      <c r="E60" s="3"/>
      <c r="F60" s="3"/>
      <c r="G60" s="3"/>
      <c r="H60" s="9"/>
      <c r="I60" s="11"/>
      <c r="J60" s="3"/>
      <c r="K60" s="3"/>
    </row>
    <row r="61" spans="1:11">
      <c r="A61" s="36" t="s">
        <v>41</v>
      </c>
      <c r="B61" s="37" t="s">
        <v>534</v>
      </c>
      <c r="C61" s="37" t="s">
        <v>704</v>
      </c>
      <c r="D61" s="37"/>
      <c r="E61" s="37" t="s">
        <v>704</v>
      </c>
      <c r="F61" s="37" t="s">
        <v>121</v>
      </c>
      <c r="G61" s="37"/>
      <c r="H61" s="38">
        <v>10958</v>
      </c>
      <c r="I61" s="37" t="s">
        <v>42</v>
      </c>
      <c r="J61" s="3"/>
      <c r="K61" s="3"/>
    </row>
    <row r="62" spans="1:11">
      <c r="A62" s="39"/>
      <c r="B62" s="40">
        <v>36181</v>
      </c>
      <c r="C62" s="40">
        <v>1786</v>
      </c>
      <c r="D62" s="38"/>
      <c r="E62" s="38">
        <v>634</v>
      </c>
      <c r="F62" s="38">
        <v>3388</v>
      </c>
      <c r="G62" s="40"/>
      <c r="H62" s="40"/>
      <c r="I62" s="38"/>
      <c r="J62" s="3"/>
      <c r="K62" s="3"/>
    </row>
    <row r="63" spans="1:11">
      <c r="A63" s="3"/>
      <c r="B63" s="3"/>
      <c r="C63" s="3"/>
      <c r="D63" s="3"/>
      <c r="E63" s="3"/>
      <c r="F63" s="3"/>
      <c r="G63" s="3"/>
      <c r="H63" s="9"/>
      <c r="I63" s="9"/>
      <c r="J63" s="3"/>
      <c r="K63" s="3"/>
    </row>
    <row r="64" spans="1:11">
      <c r="A64" s="3" t="s">
        <v>45</v>
      </c>
      <c r="B64" s="10" t="s">
        <v>385</v>
      </c>
      <c r="C64" s="10" t="s">
        <v>705</v>
      </c>
      <c r="D64" s="10"/>
      <c r="E64" s="10"/>
      <c r="F64" s="10" t="s">
        <v>471</v>
      </c>
      <c r="G64" s="10"/>
      <c r="H64" s="9">
        <v>12586</v>
      </c>
      <c r="I64" s="8" t="s">
        <v>388</v>
      </c>
      <c r="J64" s="3"/>
      <c r="K64" s="3"/>
    </row>
    <row r="65" spans="1:11">
      <c r="A65" s="7"/>
      <c r="B65" s="10">
        <v>30151</v>
      </c>
      <c r="C65" s="9">
        <v>1807</v>
      </c>
      <c r="D65" s="10"/>
      <c r="E65" s="10"/>
      <c r="F65" s="10">
        <v>1320</v>
      </c>
      <c r="G65" s="11"/>
      <c r="H65" s="9"/>
      <c r="I65" s="11"/>
      <c r="J65" s="3"/>
      <c r="K65" s="3"/>
    </row>
    <row r="66" spans="1:11">
      <c r="A66" s="3"/>
      <c r="B66" s="3"/>
      <c r="C66" s="3"/>
      <c r="D66" s="3"/>
      <c r="E66" s="3"/>
      <c r="F66" s="3"/>
      <c r="G66" s="9"/>
      <c r="H66" s="9"/>
      <c r="I66" s="9"/>
      <c r="J66" s="3"/>
      <c r="K66" s="3"/>
    </row>
    <row r="67" spans="1:11">
      <c r="A67" s="39" t="s">
        <v>47</v>
      </c>
      <c r="B67" s="40" t="s">
        <v>352</v>
      </c>
      <c r="C67" s="40"/>
      <c r="D67" s="40"/>
      <c r="E67" s="40" t="s">
        <v>706</v>
      </c>
      <c r="F67" s="40" t="s">
        <v>352</v>
      </c>
      <c r="G67" s="40"/>
      <c r="H67" s="38">
        <v>15042</v>
      </c>
      <c r="I67" s="37" t="s">
        <v>473</v>
      </c>
      <c r="J67" s="3"/>
      <c r="K67" s="3"/>
    </row>
    <row r="68" spans="1:11">
      <c r="A68" s="36"/>
      <c r="B68" s="40">
        <v>32044</v>
      </c>
      <c r="C68" s="40"/>
      <c r="D68" s="40"/>
      <c r="E68" s="40">
        <v>974</v>
      </c>
      <c r="F68" s="40">
        <v>6669</v>
      </c>
      <c r="G68" s="40"/>
      <c r="H68" s="38"/>
      <c r="I68" s="41"/>
      <c r="J68" s="3"/>
      <c r="K68" s="3"/>
    </row>
    <row r="69" spans="1:11">
      <c r="A69" s="3"/>
      <c r="B69" s="3"/>
      <c r="C69" s="3"/>
      <c r="D69" s="3"/>
      <c r="E69" s="3"/>
      <c r="F69" s="3"/>
      <c r="G69" s="11"/>
      <c r="H69" s="9"/>
      <c r="I69" s="9"/>
      <c r="J69" s="3"/>
      <c r="K69" s="3"/>
    </row>
    <row r="70" spans="1:11">
      <c r="A70" s="3" t="s">
        <v>49</v>
      </c>
      <c r="B70" s="10" t="s">
        <v>83</v>
      </c>
      <c r="C70" s="10" t="s">
        <v>707</v>
      </c>
      <c r="D70" s="10"/>
      <c r="E70" s="10" t="s">
        <v>707</v>
      </c>
      <c r="F70" s="10" t="s">
        <v>83</v>
      </c>
      <c r="G70" s="10"/>
      <c r="H70" s="9">
        <v>10867</v>
      </c>
      <c r="I70" s="8" t="s">
        <v>84</v>
      </c>
      <c r="J70" s="3"/>
      <c r="K70" s="3"/>
    </row>
    <row r="71" spans="1:11">
      <c r="A71" s="7"/>
      <c r="B71" s="10">
        <v>28214</v>
      </c>
      <c r="C71" s="10">
        <v>3117</v>
      </c>
      <c r="D71" s="10"/>
      <c r="E71" s="10">
        <v>557</v>
      </c>
      <c r="F71" s="10">
        <v>2302</v>
      </c>
      <c r="G71" s="10"/>
      <c r="H71" s="9"/>
      <c r="I71" s="11"/>
      <c r="J71" s="3"/>
      <c r="K71" s="3"/>
    </row>
    <row r="72" spans="1:11">
      <c r="A72" s="7"/>
      <c r="B72" s="3"/>
      <c r="C72" s="3"/>
      <c r="D72" s="3"/>
      <c r="E72" s="3"/>
      <c r="F72" s="3"/>
      <c r="G72" s="3"/>
      <c r="H72" s="3"/>
      <c r="I72" s="11"/>
      <c r="J72" s="3"/>
      <c r="K72" s="3"/>
    </row>
    <row r="73" spans="1:11">
      <c r="A73" s="39" t="s">
        <v>52</v>
      </c>
      <c r="B73" s="37"/>
      <c r="C73" s="37" t="s">
        <v>85</v>
      </c>
      <c r="D73" s="37"/>
      <c r="E73" s="37" t="s">
        <v>85</v>
      </c>
      <c r="F73" s="37"/>
      <c r="G73" s="37"/>
      <c r="H73" s="38">
        <v>21704</v>
      </c>
      <c r="I73" s="40" t="s">
        <v>313</v>
      </c>
      <c r="J73" s="3"/>
      <c r="K73" s="3"/>
    </row>
    <row r="74" spans="1:11">
      <c r="A74" s="39"/>
      <c r="B74" s="40"/>
      <c r="C74" s="40">
        <v>18748</v>
      </c>
      <c r="D74" s="40"/>
      <c r="E74" s="40">
        <v>3334</v>
      </c>
      <c r="F74" s="40"/>
      <c r="G74" s="38"/>
      <c r="H74" s="38"/>
      <c r="I74" s="41"/>
      <c r="J74" s="3"/>
      <c r="K74" s="3"/>
    </row>
    <row r="75" spans="1:11">
      <c r="A75" s="3"/>
      <c r="B75" s="3"/>
      <c r="C75" s="3"/>
      <c r="D75" s="3"/>
      <c r="E75" s="3"/>
      <c r="F75" s="3"/>
      <c r="G75" s="3"/>
      <c r="H75" s="9"/>
      <c r="I75" s="11"/>
      <c r="J75" s="3"/>
      <c r="K75" s="3"/>
    </row>
    <row r="76" spans="1:11">
      <c r="A76" s="7" t="s">
        <v>54</v>
      </c>
      <c r="B76" s="8" t="s">
        <v>93</v>
      </c>
      <c r="C76" s="8"/>
      <c r="D76" s="8" t="s">
        <v>93</v>
      </c>
      <c r="E76" s="8"/>
      <c r="F76" s="8" t="s">
        <v>93</v>
      </c>
      <c r="G76" s="8"/>
      <c r="H76" s="9">
        <v>15132</v>
      </c>
      <c r="I76" s="8" t="s">
        <v>94</v>
      </c>
      <c r="J76" s="3"/>
      <c r="K76" s="3"/>
    </row>
    <row r="77" spans="1:11">
      <c r="A77" s="3"/>
      <c r="B77" s="10">
        <v>21072</v>
      </c>
      <c r="C77" s="10"/>
      <c r="D77" s="10">
        <v>1059</v>
      </c>
      <c r="E77" s="10"/>
      <c r="F77" s="10">
        <v>1366</v>
      </c>
      <c r="G77" s="9"/>
      <c r="H77" s="9"/>
      <c r="I77" s="9"/>
      <c r="J77" s="3"/>
      <c r="K77" s="3"/>
    </row>
    <row r="78" spans="1:11">
      <c r="A78" s="3"/>
      <c r="B78" s="3"/>
      <c r="C78" s="3"/>
      <c r="D78" s="3"/>
      <c r="E78" s="3"/>
      <c r="F78" s="3"/>
      <c r="G78" s="3"/>
      <c r="H78" s="9"/>
      <c r="I78" s="11"/>
      <c r="J78" s="3"/>
      <c r="K78" s="3"/>
    </row>
    <row r="79" spans="1:11">
      <c r="A79" s="36" t="s">
        <v>56</v>
      </c>
      <c r="B79" s="37" t="s">
        <v>708</v>
      </c>
      <c r="C79" s="37" t="s">
        <v>102</v>
      </c>
      <c r="D79" s="37" t="s">
        <v>102</v>
      </c>
      <c r="E79" s="37" t="s">
        <v>709</v>
      </c>
      <c r="F79" s="37" t="s">
        <v>708</v>
      </c>
      <c r="G79" s="37"/>
      <c r="H79" s="38">
        <v>5261</v>
      </c>
      <c r="I79" s="37" t="s">
        <v>103</v>
      </c>
      <c r="J79" s="3"/>
      <c r="K79" s="3"/>
    </row>
    <row r="80" spans="1:11">
      <c r="A80" s="39"/>
      <c r="B80" s="40">
        <v>21737</v>
      </c>
      <c r="C80" s="40">
        <v>31851</v>
      </c>
      <c r="D80" s="40">
        <v>2309</v>
      </c>
      <c r="E80" s="40">
        <v>2307</v>
      </c>
      <c r="F80" s="40">
        <v>1337</v>
      </c>
      <c r="G80" s="38"/>
      <c r="H80" s="38"/>
      <c r="I80" s="38"/>
      <c r="J80" s="3"/>
      <c r="K80" s="3"/>
    </row>
    <row r="81" spans="1:1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>
      <c r="A82" s="7" t="s">
        <v>58</v>
      </c>
      <c r="B82" s="8" t="s">
        <v>710</v>
      </c>
      <c r="C82" s="8"/>
      <c r="D82" s="8"/>
      <c r="E82" s="8"/>
      <c r="F82" s="8" t="s">
        <v>756</v>
      </c>
      <c r="G82" s="8"/>
      <c r="H82" s="9">
        <v>15645</v>
      </c>
      <c r="I82" s="8" t="s">
        <v>711</v>
      </c>
      <c r="J82" s="3"/>
      <c r="K82" s="3"/>
    </row>
    <row r="83" spans="1:11">
      <c r="A83" s="3"/>
      <c r="B83" s="10">
        <v>40822</v>
      </c>
      <c r="C83" s="10"/>
      <c r="D83" s="10"/>
      <c r="E83" s="10"/>
      <c r="F83" s="10">
        <v>8649</v>
      </c>
      <c r="G83" s="9"/>
      <c r="H83" s="9"/>
      <c r="I83" s="9"/>
      <c r="J83" s="3"/>
      <c r="K83" s="3"/>
    </row>
    <row r="84" spans="1:1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>
      <c r="A85" s="36" t="s">
        <v>59</v>
      </c>
      <c r="B85" s="37" t="s">
        <v>78</v>
      </c>
      <c r="C85" s="37" t="s">
        <v>712</v>
      </c>
      <c r="D85" s="37"/>
      <c r="E85" s="37"/>
      <c r="F85" s="37" t="s">
        <v>78</v>
      </c>
      <c r="G85" s="48" t="s">
        <v>713</v>
      </c>
      <c r="H85" s="38">
        <v>7191</v>
      </c>
      <c r="I85" s="37" t="s">
        <v>79</v>
      </c>
      <c r="J85" s="3"/>
      <c r="K85" s="3"/>
    </row>
    <row r="86" spans="1:11">
      <c r="A86" s="39"/>
      <c r="B86" s="40">
        <v>61677</v>
      </c>
      <c r="C86" s="40">
        <v>15827</v>
      </c>
      <c r="D86" s="38"/>
      <c r="E86" s="43"/>
      <c r="F86" s="43">
        <v>2808</v>
      </c>
      <c r="G86" s="43">
        <v>476</v>
      </c>
      <c r="H86" s="43"/>
      <c r="I86" s="43"/>
      <c r="J86" s="3"/>
      <c r="K86" s="3"/>
    </row>
    <row r="87" spans="1:11">
      <c r="A87" s="3"/>
      <c r="B87" s="10"/>
      <c r="C87" s="10"/>
      <c r="D87" s="9"/>
      <c r="E87" s="23"/>
      <c r="F87" s="23"/>
      <c r="G87" s="23"/>
      <c r="H87" s="23"/>
      <c r="I87" s="23"/>
      <c r="J87" s="3"/>
      <c r="K87" s="3"/>
    </row>
    <row r="88" spans="1:11">
      <c r="A88" s="7" t="s">
        <v>63</v>
      </c>
      <c r="B88" s="8" t="s">
        <v>543</v>
      </c>
      <c r="C88" s="8"/>
      <c r="D88" s="8" t="s">
        <v>714</v>
      </c>
      <c r="E88" s="8"/>
      <c r="F88" s="8"/>
      <c r="G88" s="8"/>
      <c r="H88" s="9">
        <v>15062</v>
      </c>
      <c r="I88" s="8" t="s">
        <v>545</v>
      </c>
      <c r="J88" s="3"/>
      <c r="K88" s="3"/>
    </row>
    <row r="89" spans="1:11">
      <c r="A89" s="3"/>
      <c r="B89" s="10">
        <v>27668</v>
      </c>
      <c r="C89" s="9"/>
      <c r="D89" s="9">
        <v>1853</v>
      </c>
      <c r="E89" s="9"/>
      <c r="F89" s="9"/>
      <c r="G89" s="11"/>
      <c r="H89" s="9"/>
      <c r="I89" s="9"/>
      <c r="J89" s="3"/>
      <c r="K89" s="3"/>
    </row>
    <row r="90" spans="1:11">
      <c r="A90" s="3"/>
      <c r="B90" s="3"/>
      <c r="C90" s="3"/>
      <c r="D90" s="3"/>
      <c r="E90" s="3"/>
      <c r="F90" s="3"/>
      <c r="G90" s="3"/>
      <c r="H90" s="9"/>
      <c r="I90" s="11"/>
      <c r="J90" s="3"/>
      <c r="K90" s="3"/>
    </row>
    <row r="91" spans="1:11">
      <c r="A91" s="36" t="s">
        <v>65</v>
      </c>
      <c r="B91" s="37" t="s">
        <v>95</v>
      </c>
      <c r="C91" s="37"/>
      <c r="D91" s="37"/>
      <c r="E91" s="37"/>
      <c r="F91" s="37" t="s">
        <v>95</v>
      </c>
      <c r="G91" s="40"/>
      <c r="H91" s="38">
        <v>11843</v>
      </c>
      <c r="I91" s="37" t="s">
        <v>715</v>
      </c>
      <c r="J91" s="3"/>
      <c r="K91" s="3"/>
    </row>
    <row r="92" spans="1:11">
      <c r="A92" s="39"/>
      <c r="B92" s="40">
        <v>29751</v>
      </c>
      <c r="C92" s="38"/>
      <c r="D92" s="40"/>
      <c r="E92" s="40"/>
      <c r="F92" s="40">
        <v>1891</v>
      </c>
      <c r="G92" s="40"/>
      <c r="H92" s="38"/>
      <c r="I92" s="38"/>
      <c r="J92" s="3"/>
      <c r="K92" s="3"/>
    </row>
    <row r="93" spans="1:11">
      <c r="A93" s="3"/>
      <c r="B93" s="3"/>
      <c r="C93" s="3"/>
      <c r="D93" s="3"/>
      <c r="E93" s="3"/>
      <c r="F93" s="3"/>
      <c r="G93" s="3"/>
      <c r="H93" s="9"/>
      <c r="I93" s="11"/>
      <c r="J93" s="3"/>
      <c r="K93" s="3"/>
    </row>
    <row r="94" spans="1:11">
      <c r="A94" s="3" t="s">
        <v>67</v>
      </c>
      <c r="B94" s="10" t="s">
        <v>547</v>
      </c>
      <c r="C94" s="10" t="s">
        <v>576</v>
      </c>
      <c r="D94" s="10"/>
      <c r="E94" s="10"/>
      <c r="F94" s="10" t="s">
        <v>547</v>
      </c>
      <c r="G94" s="10"/>
      <c r="H94" s="9">
        <v>9656</v>
      </c>
      <c r="I94" s="8" t="s">
        <v>549</v>
      </c>
      <c r="J94" s="3"/>
      <c r="K94" s="3"/>
    </row>
    <row r="95" spans="1:11">
      <c r="A95" s="3"/>
      <c r="B95" s="10">
        <v>68737</v>
      </c>
      <c r="C95" s="9">
        <v>9923</v>
      </c>
      <c r="D95" s="9"/>
      <c r="E95" s="9"/>
      <c r="F95" s="9">
        <v>11339</v>
      </c>
      <c r="G95" s="9"/>
      <c r="H95" s="9"/>
      <c r="I95" s="9"/>
      <c r="J95" s="3"/>
      <c r="K95" s="3"/>
    </row>
    <row r="96" spans="1:11">
      <c r="A96" s="3"/>
      <c r="B96" s="3"/>
      <c r="C96" s="3"/>
      <c r="D96" s="3"/>
      <c r="E96" s="3"/>
      <c r="F96" s="3"/>
      <c r="G96" s="3"/>
      <c r="H96" s="9"/>
      <c r="I96" s="9"/>
      <c r="J96" s="3"/>
      <c r="K96" s="3"/>
    </row>
    <row r="97" spans="1:11">
      <c r="A97" s="39" t="s">
        <v>68</v>
      </c>
      <c r="B97" s="40" t="s">
        <v>321</v>
      </c>
      <c r="C97" s="40" t="s">
        <v>716</v>
      </c>
      <c r="D97" s="40"/>
      <c r="E97" s="40" t="s">
        <v>717</v>
      </c>
      <c r="F97" s="40" t="s">
        <v>321</v>
      </c>
      <c r="G97" s="40"/>
      <c r="H97" s="38">
        <v>11021</v>
      </c>
      <c r="I97" s="40" t="s">
        <v>323</v>
      </c>
      <c r="J97" s="3"/>
      <c r="K97" s="3"/>
    </row>
    <row r="98" spans="1:11">
      <c r="A98" s="39"/>
      <c r="B98" s="40">
        <v>48187</v>
      </c>
      <c r="C98" s="38">
        <v>2528</v>
      </c>
      <c r="D98" s="40"/>
      <c r="E98" s="40">
        <v>1411</v>
      </c>
      <c r="F98" s="40">
        <v>5269</v>
      </c>
      <c r="G98" s="38"/>
      <c r="H98" s="38"/>
      <c r="I98" s="38"/>
      <c r="J98" s="3"/>
      <c r="K98" s="3"/>
    </row>
    <row r="99" spans="1:11">
      <c r="A99" s="3"/>
      <c r="B99" s="3"/>
      <c r="C99" s="3"/>
      <c r="D99" s="3"/>
      <c r="E99" s="3"/>
      <c r="F99" s="3"/>
      <c r="G99" s="11"/>
      <c r="H99" s="9"/>
      <c r="I99" s="9"/>
      <c r="J99" s="3"/>
      <c r="K99" s="3"/>
    </row>
    <row r="100" spans="1:11">
      <c r="A100" s="3" t="s">
        <v>69</v>
      </c>
      <c r="B100" s="10" t="s">
        <v>634</v>
      </c>
      <c r="C100" s="10" t="s">
        <v>551</v>
      </c>
      <c r="D100" s="10"/>
      <c r="E100" s="10"/>
      <c r="F100" s="10" t="s">
        <v>634</v>
      </c>
      <c r="G100" s="10"/>
      <c r="H100" s="9">
        <v>13440</v>
      </c>
      <c r="I100" s="10" t="s">
        <v>636</v>
      </c>
      <c r="J100" s="3"/>
      <c r="K100" s="3"/>
    </row>
    <row r="101" spans="1:11">
      <c r="A101" s="3"/>
      <c r="B101" s="10">
        <v>45796</v>
      </c>
      <c r="C101" s="10">
        <v>4270</v>
      </c>
      <c r="D101" s="10"/>
      <c r="E101" s="10"/>
      <c r="F101" s="10">
        <v>5406</v>
      </c>
      <c r="G101" s="9"/>
      <c r="H101" s="9"/>
      <c r="I101" s="9"/>
      <c r="J101" s="3"/>
      <c r="K101" s="3"/>
    </row>
    <row r="102" spans="1:11">
      <c r="A102" s="3"/>
      <c r="B102" s="3"/>
      <c r="C102" s="3"/>
      <c r="D102" s="3"/>
      <c r="E102" s="3"/>
      <c r="F102" s="3"/>
      <c r="G102" s="9"/>
      <c r="H102" s="9"/>
      <c r="I102" s="9"/>
      <c r="J102" s="3"/>
      <c r="K102" s="3"/>
    </row>
    <row r="103" spans="1:11">
      <c r="A103" s="39" t="s">
        <v>70</v>
      </c>
      <c r="B103" s="40" t="s">
        <v>481</v>
      </c>
      <c r="C103" s="40" t="s">
        <v>383</v>
      </c>
      <c r="D103" s="40" t="s">
        <v>383</v>
      </c>
      <c r="E103" s="40"/>
      <c r="F103" s="40"/>
      <c r="G103" s="40"/>
      <c r="H103" s="38">
        <v>10574</v>
      </c>
      <c r="I103" s="40" t="s">
        <v>553</v>
      </c>
      <c r="J103" s="3"/>
      <c r="K103" s="3"/>
    </row>
    <row r="104" spans="1:11">
      <c r="A104" s="39"/>
      <c r="B104" s="40">
        <v>30184</v>
      </c>
      <c r="C104" s="40">
        <v>1952</v>
      </c>
      <c r="D104" s="40">
        <v>501</v>
      </c>
      <c r="E104" s="40"/>
      <c r="F104" s="40"/>
      <c r="G104" s="38"/>
      <c r="H104" s="38"/>
      <c r="I104" s="38"/>
      <c r="J104" s="3"/>
      <c r="K104" s="3"/>
    </row>
    <row r="105" spans="1:11">
      <c r="A105" s="3"/>
      <c r="B105" s="3"/>
      <c r="C105" s="3"/>
      <c r="D105" s="3"/>
      <c r="E105" s="3"/>
      <c r="F105" s="3"/>
      <c r="G105" s="3"/>
      <c r="H105" s="9"/>
      <c r="I105" s="9"/>
      <c r="J105" s="3"/>
      <c r="K105" s="3"/>
    </row>
    <row r="106" spans="1:11">
      <c r="A106" s="3" t="s">
        <v>71</v>
      </c>
      <c r="B106" s="10" t="s">
        <v>718</v>
      </c>
      <c r="C106" s="10"/>
      <c r="D106" s="10" t="s">
        <v>719</v>
      </c>
      <c r="E106" s="10"/>
      <c r="F106" s="10"/>
      <c r="G106" s="10"/>
      <c r="H106" s="9">
        <v>10957</v>
      </c>
      <c r="I106" s="10" t="s">
        <v>720</v>
      </c>
      <c r="J106" s="3"/>
      <c r="K106" s="3"/>
    </row>
    <row r="107" spans="1:11">
      <c r="A107" s="3"/>
      <c r="B107" s="10">
        <v>23304</v>
      </c>
      <c r="C107" s="10"/>
      <c r="D107" s="10">
        <v>734</v>
      </c>
      <c r="E107" s="10"/>
      <c r="F107" s="10"/>
      <c r="G107" s="9"/>
      <c r="H107" s="9"/>
      <c r="I107" s="9"/>
      <c r="J107" s="3"/>
      <c r="K107" s="3"/>
    </row>
    <row r="108" spans="1:1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>
      <c r="A109" s="41" t="s">
        <v>5</v>
      </c>
      <c r="B109" s="37" t="s">
        <v>96</v>
      </c>
      <c r="C109" s="37" t="s">
        <v>93</v>
      </c>
      <c r="D109" s="37" t="s">
        <v>93</v>
      </c>
      <c r="E109" s="37" t="s">
        <v>93</v>
      </c>
      <c r="F109" s="37" t="s">
        <v>96</v>
      </c>
      <c r="G109" s="37"/>
      <c r="H109" s="38">
        <v>5387</v>
      </c>
      <c r="I109" s="37" t="s">
        <v>329</v>
      </c>
      <c r="J109" s="3"/>
      <c r="K109" s="3"/>
    </row>
    <row r="110" spans="1:11">
      <c r="A110" s="38"/>
      <c r="B110" s="38">
        <v>30947</v>
      </c>
      <c r="C110" s="40">
        <v>16821</v>
      </c>
      <c r="D110" s="40">
        <v>1526</v>
      </c>
      <c r="E110" s="40">
        <v>2317</v>
      </c>
      <c r="F110" s="40">
        <v>1675</v>
      </c>
      <c r="G110" s="40"/>
      <c r="H110" s="38"/>
      <c r="I110" s="41"/>
      <c r="J110" s="3"/>
      <c r="K110" s="3"/>
    </row>
    <row r="111" spans="1:11">
      <c r="A111" s="9"/>
      <c r="B111" s="3"/>
      <c r="C111" s="3"/>
      <c r="D111" s="3"/>
      <c r="E111" s="3"/>
      <c r="F111" s="3"/>
      <c r="G111" s="3"/>
      <c r="H111" s="9"/>
      <c r="I111" s="9"/>
      <c r="J111" s="3"/>
      <c r="K111" s="3"/>
    </row>
    <row r="112" spans="1:11">
      <c r="A112" s="11" t="s">
        <v>104</v>
      </c>
      <c r="B112" s="8" t="s">
        <v>97</v>
      </c>
      <c r="C112" s="8" t="s">
        <v>721</v>
      </c>
      <c r="D112" s="8" t="s">
        <v>721</v>
      </c>
      <c r="E112" s="8" t="s">
        <v>722</v>
      </c>
      <c r="F112" s="8"/>
      <c r="G112" s="8"/>
      <c r="H112" s="17">
        <v>4561</v>
      </c>
      <c r="I112" s="8" t="s">
        <v>105</v>
      </c>
      <c r="J112" s="3"/>
      <c r="K112" s="3"/>
    </row>
    <row r="113" spans="1:11">
      <c r="A113" s="9"/>
      <c r="B113" s="17">
        <v>43241</v>
      </c>
      <c r="C113" s="14">
        <v>34261</v>
      </c>
      <c r="D113" s="14">
        <v>3711</v>
      </c>
      <c r="E113" s="14">
        <v>3190</v>
      </c>
      <c r="F113" s="14"/>
      <c r="G113" s="14"/>
      <c r="H113" s="9"/>
      <c r="I113" s="11"/>
      <c r="J113" s="3"/>
      <c r="K113" s="3"/>
    </row>
    <row r="114" spans="1:11">
      <c r="A114" s="9"/>
      <c r="B114" s="3"/>
      <c r="C114" s="3"/>
      <c r="D114" s="3"/>
      <c r="E114" s="3"/>
      <c r="F114" s="3"/>
      <c r="G114" s="3"/>
      <c r="H114" s="9"/>
      <c r="I114" s="9"/>
      <c r="J114" s="3"/>
      <c r="K114" s="3"/>
    </row>
    <row r="115" spans="1:11">
      <c r="A115" s="41" t="s">
        <v>8</v>
      </c>
      <c r="B115" s="37" t="s">
        <v>723</v>
      </c>
      <c r="C115" s="37" t="s">
        <v>162</v>
      </c>
      <c r="D115" s="37"/>
      <c r="E115" s="37" t="s">
        <v>162</v>
      </c>
      <c r="F115" s="37" t="s">
        <v>723</v>
      </c>
      <c r="G115" s="37"/>
      <c r="H115" s="38">
        <v>10244</v>
      </c>
      <c r="I115" s="37" t="s">
        <v>724</v>
      </c>
      <c r="J115" s="3"/>
      <c r="K115" s="3"/>
    </row>
    <row r="116" spans="1:11">
      <c r="A116" s="38"/>
      <c r="B116" s="38">
        <v>39154</v>
      </c>
      <c r="C116" s="38">
        <v>1543</v>
      </c>
      <c r="D116" s="38"/>
      <c r="E116" s="38">
        <v>423</v>
      </c>
      <c r="F116" s="38">
        <v>1853</v>
      </c>
      <c r="G116" s="38"/>
      <c r="H116" s="38"/>
      <c r="I116" s="41"/>
      <c r="J116" s="3"/>
      <c r="K116" s="3"/>
    </row>
    <row r="117" spans="1:11">
      <c r="A117" s="9"/>
      <c r="B117" s="3"/>
      <c r="C117" s="3"/>
      <c r="D117" s="3"/>
      <c r="E117" s="3"/>
      <c r="F117" s="3"/>
      <c r="G117" s="3"/>
      <c r="H117" s="3"/>
      <c r="I117" s="9"/>
      <c r="J117" s="3"/>
      <c r="K117" s="3"/>
    </row>
    <row r="118" spans="1:11">
      <c r="A118" s="11" t="s">
        <v>10</v>
      </c>
      <c r="B118" s="8" t="s">
        <v>556</v>
      </c>
      <c r="C118" s="8"/>
      <c r="D118" s="8"/>
      <c r="E118" s="8"/>
      <c r="F118" s="8" t="s">
        <v>556</v>
      </c>
      <c r="G118" s="8"/>
      <c r="H118" s="9">
        <v>30338</v>
      </c>
      <c r="I118" s="8" t="s">
        <v>557</v>
      </c>
      <c r="J118" s="3"/>
      <c r="K118" s="3"/>
    </row>
    <row r="119" spans="1:11">
      <c r="A119" s="9"/>
      <c r="B119" s="10">
        <v>59068</v>
      </c>
      <c r="C119" s="9"/>
      <c r="D119" s="9"/>
      <c r="E119" s="9"/>
      <c r="F119" s="9">
        <v>2902</v>
      </c>
      <c r="G119" s="9"/>
      <c r="H119" s="9"/>
      <c r="I119" s="11"/>
      <c r="J119" s="3"/>
      <c r="K119" s="3"/>
    </row>
    <row r="120" spans="1:11">
      <c r="A120" s="9"/>
      <c r="B120" s="9"/>
      <c r="C120" s="9"/>
      <c r="D120" s="9"/>
      <c r="E120" s="9"/>
      <c r="F120" s="9"/>
      <c r="G120" s="9"/>
      <c r="H120" s="9"/>
      <c r="I120" s="9"/>
      <c r="J120" s="3"/>
      <c r="K120" s="3"/>
    </row>
    <row r="121" spans="1:11">
      <c r="A121" s="41" t="s">
        <v>14</v>
      </c>
      <c r="B121" s="37" t="s">
        <v>725</v>
      </c>
      <c r="C121" s="37" t="s">
        <v>644</v>
      </c>
      <c r="D121" s="37" t="s">
        <v>644</v>
      </c>
      <c r="E121" s="37" t="s">
        <v>644</v>
      </c>
      <c r="F121" s="37" t="s">
        <v>644</v>
      </c>
      <c r="G121" s="37"/>
      <c r="H121" s="38">
        <v>7996</v>
      </c>
      <c r="I121" s="37" t="s">
        <v>645</v>
      </c>
      <c r="J121" s="3"/>
      <c r="K121" s="3"/>
    </row>
    <row r="122" spans="1:11">
      <c r="A122" s="38"/>
      <c r="B122" s="38">
        <v>32692</v>
      </c>
      <c r="C122" s="38">
        <v>43022</v>
      </c>
      <c r="D122" s="38">
        <v>5327</v>
      </c>
      <c r="E122" s="38">
        <v>4796</v>
      </c>
      <c r="F122" s="38">
        <v>1984</v>
      </c>
      <c r="G122" s="38"/>
      <c r="H122" s="38"/>
      <c r="I122" s="41"/>
      <c r="J122" s="3"/>
      <c r="K122" s="3"/>
    </row>
    <row r="123" spans="1:11">
      <c r="A123" s="9"/>
      <c r="B123" s="3"/>
      <c r="C123" s="3"/>
      <c r="D123" s="3"/>
      <c r="E123" s="3"/>
      <c r="F123" s="3"/>
      <c r="G123" s="9"/>
      <c r="H123" s="9"/>
      <c r="I123" s="9"/>
      <c r="J123" s="3"/>
      <c r="K123" s="3"/>
    </row>
    <row r="124" spans="1:11">
      <c r="A124" s="61" t="s">
        <v>17</v>
      </c>
      <c r="B124" s="62" t="s">
        <v>726</v>
      </c>
      <c r="C124" s="62" t="s">
        <v>335</v>
      </c>
      <c r="D124" s="62"/>
      <c r="E124" s="62" t="s">
        <v>336</v>
      </c>
      <c r="F124" s="62"/>
      <c r="G124" s="62"/>
      <c r="H124" s="63">
        <v>8668</v>
      </c>
      <c r="I124" s="62" t="s">
        <v>337</v>
      </c>
      <c r="J124" s="3"/>
      <c r="K124" s="3"/>
    </row>
    <row r="125" spans="1:11">
      <c r="A125" s="63"/>
      <c r="B125" s="63">
        <v>28201</v>
      </c>
      <c r="C125" s="63">
        <v>42985</v>
      </c>
      <c r="D125" s="63"/>
      <c r="E125" s="63">
        <v>5234</v>
      </c>
      <c r="F125" s="63"/>
      <c r="G125" s="61"/>
      <c r="H125" s="63"/>
      <c r="I125" s="61"/>
      <c r="J125" s="3"/>
      <c r="K125" s="3"/>
    </row>
    <row r="126" spans="1:11">
      <c r="A126" s="9"/>
      <c r="B126" s="3"/>
      <c r="C126" s="3"/>
      <c r="D126" s="3"/>
      <c r="E126" s="3"/>
      <c r="F126" s="3"/>
      <c r="G126" s="9"/>
      <c r="H126" s="9"/>
      <c r="I126" s="9"/>
      <c r="J126" s="3"/>
      <c r="K126" s="3"/>
    </row>
    <row r="127" spans="1:11">
      <c r="A127" s="41" t="s">
        <v>19</v>
      </c>
      <c r="B127" s="37" t="s">
        <v>560</v>
      </c>
      <c r="C127" s="37" t="s">
        <v>647</v>
      </c>
      <c r="D127" s="37" t="s">
        <v>647</v>
      </c>
      <c r="E127" s="37" t="s">
        <v>647</v>
      </c>
      <c r="F127" s="37" t="s">
        <v>560</v>
      </c>
      <c r="G127" s="37"/>
      <c r="H127" s="40">
        <v>7029</v>
      </c>
      <c r="I127" s="37" t="s">
        <v>648</v>
      </c>
      <c r="J127" s="3"/>
      <c r="K127" s="3"/>
    </row>
    <row r="128" spans="1:11">
      <c r="A128" s="38"/>
      <c r="B128" s="38">
        <v>39935</v>
      </c>
      <c r="C128" s="38">
        <v>43585</v>
      </c>
      <c r="D128" s="38">
        <v>4724</v>
      </c>
      <c r="E128" s="38">
        <v>4863</v>
      </c>
      <c r="F128" s="38">
        <v>2004</v>
      </c>
      <c r="G128" s="41"/>
      <c r="H128" s="38"/>
      <c r="I128" s="41"/>
      <c r="J128" s="3"/>
      <c r="K128" s="3"/>
    </row>
    <row r="129" spans="1:11">
      <c r="A129" s="9"/>
      <c r="B129" s="3"/>
      <c r="C129" s="3"/>
      <c r="D129" s="3"/>
      <c r="E129" s="3"/>
      <c r="F129" s="3"/>
      <c r="G129" s="9"/>
      <c r="H129" s="9"/>
      <c r="I129" s="9"/>
      <c r="J129" s="3"/>
      <c r="K129" s="3"/>
    </row>
    <row r="130" spans="1:11">
      <c r="A130" s="11" t="s">
        <v>20</v>
      </c>
      <c r="B130" s="8" t="s">
        <v>727</v>
      </c>
      <c r="C130" s="8" t="s">
        <v>489</v>
      </c>
      <c r="D130" s="8" t="s">
        <v>489</v>
      </c>
      <c r="E130" s="8" t="s">
        <v>562</v>
      </c>
      <c r="F130" s="8" t="s">
        <v>727</v>
      </c>
      <c r="G130" s="8"/>
      <c r="H130" s="10">
        <v>7471</v>
      </c>
      <c r="I130" s="8" t="s">
        <v>563</v>
      </c>
      <c r="J130" s="3"/>
      <c r="K130" s="3"/>
    </row>
    <row r="131" spans="1:11">
      <c r="A131" s="9"/>
      <c r="B131" s="9">
        <v>35697</v>
      </c>
      <c r="C131" s="9">
        <v>43356</v>
      </c>
      <c r="D131" s="9">
        <v>4648</v>
      </c>
      <c r="E131" s="9">
        <v>4940</v>
      </c>
      <c r="F131" s="9">
        <v>2360</v>
      </c>
      <c r="G131" s="9"/>
      <c r="H131" s="9"/>
      <c r="I131" s="11"/>
      <c r="J131" s="3"/>
      <c r="K131" s="3"/>
    </row>
    <row r="132" spans="1:11">
      <c r="A132" s="9"/>
      <c r="B132" s="3"/>
      <c r="C132" s="3"/>
      <c r="D132" s="3"/>
      <c r="E132" s="3"/>
      <c r="F132" s="3"/>
      <c r="G132" s="3"/>
      <c r="H132" s="9"/>
      <c r="I132" s="9"/>
      <c r="J132" s="3"/>
      <c r="K132" s="3"/>
    </row>
    <row r="133" spans="1:11">
      <c r="A133" s="41" t="s">
        <v>22</v>
      </c>
      <c r="B133" s="37" t="s">
        <v>728</v>
      </c>
      <c r="C133" s="37" t="s">
        <v>342</v>
      </c>
      <c r="D133" s="37" t="s">
        <v>342</v>
      </c>
      <c r="E133" s="37" t="s">
        <v>342</v>
      </c>
      <c r="F133" s="37" t="s">
        <v>728</v>
      </c>
      <c r="G133" s="37"/>
      <c r="H133" s="40">
        <v>5832</v>
      </c>
      <c r="I133" s="37" t="s">
        <v>343</v>
      </c>
      <c r="J133" s="3"/>
      <c r="K133" s="3"/>
    </row>
    <row r="134" spans="1:11">
      <c r="A134" s="38"/>
      <c r="B134" s="40">
        <v>35890</v>
      </c>
      <c r="C134" s="38">
        <v>40861</v>
      </c>
      <c r="D134" s="38">
        <v>5436</v>
      </c>
      <c r="E134" s="38">
        <v>4284</v>
      </c>
      <c r="F134" s="38">
        <v>2513</v>
      </c>
      <c r="G134" s="38"/>
      <c r="H134" s="38"/>
      <c r="I134" s="41"/>
      <c r="J134" s="3"/>
      <c r="K134" s="3"/>
    </row>
    <row r="135" spans="1:11">
      <c r="A135" s="9"/>
      <c r="B135" s="3"/>
      <c r="C135" s="3"/>
      <c r="D135" s="3"/>
      <c r="E135" s="3"/>
      <c r="F135" s="3"/>
      <c r="G135" s="3"/>
      <c r="H135" s="9"/>
      <c r="I135" s="9"/>
      <c r="J135" s="3"/>
      <c r="K135" s="3"/>
    </row>
    <row r="136" spans="1:11">
      <c r="A136" s="11" t="s">
        <v>25</v>
      </c>
      <c r="B136" s="8"/>
      <c r="C136" s="8" t="s">
        <v>729</v>
      </c>
      <c r="D136" s="8" t="s">
        <v>730</v>
      </c>
      <c r="E136" s="8" t="s">
        <v>730</v>
      </c>
      <c r="F136" s="8"/>
      <c r="G136" s="8"/>
      <c r="H136" s="9">
        <v>48608</v>
      </c>
      <c r="I136" s="8" t="s">
        <v>731</v>
      </c>
      <c r="J136" s="3"/>
      <c r="K136" s="3"/>
    </row>
    <row r="137" spans="1:11">
      <c r="A137" s="9"/>
      <c r="B137" s="10"/>
      <c r="C137" s="9">
        <v>53761</v>
      </c>
      <c r="D137" s="9">
        <v>10315</v>
      </c>
      <c r="E137" s="9">
        <v>6080</v>
      </c>
      <c r="F137" s="9"/>
      <c r="G137" s="9"/>
      <c r="H137" s="9"/>
      <c r="I137" s="11"/>
      <c r="J137" s="3"/>
      <c r="K137" s="3"/>
    </row>
    <row r="138" spans="1:11">
      <c r="A138" s="9"/>
      <c r="B138" s="3"/>
      <c r="C138" s="3"/>
      <c r="D138" s="3"/>
      <c r="E138" s="3"/>
      <c r="F138" s="3"/>
      <c r="G138" s="3"/>
      <c r="H138" s="9"/>
      <c r="I138" s="9"/>
      <c r="J138" s="3"/>
      <c r="K138" s="3"/>
    </row>
    <row r="139" spans="1:11">
      <c r="A139" s="41" t="s">
        <v>27</v>
      </c>
      <c r="B139" s="37" t="s">
        <v>732</v>
      </c>
      <c r="C139" s="37" t="s">
        <v>568</v>
      </c>
      <c r="D139" s="37" t="s">
        <v>568</v>
      </c>
      <c r="E139" s="37" t="s">
        <v>414</v>
      </c>
      <c r="F139" s="37" t="s">
        <v>757</v>
      </c>
      <c r="G139" s="37"/>
      <c r="H139" s="38">
        <v>7543</v>
      </c>
      <c r="I139" s="37" t="s">
        <v>416</v>
      </c>
      <c r="J139" s="3"/>
      <c r="K139" s="3"/>
    </row>
    <row r="140" spans="1:11">
      <c r="A140" s="38"/>
      <c r="B140" s="38">
        <v>32461</v>
      </c>
      <c r="C140" s="38">
        <v>49417</v>
      </c>
      <c r="D140" s="38">
        <v>7138</v>
      </c>
      <c r="E140" s="38">
        <v>5104</v>
      </c>
      <c r="F140" s="38">
        <v>2831</v>
      </c>
      <c r="G140" s="38"/>
      <c r="H140" s="38"/>
      <c r="I140" s="41"/>
      <c r="J140" s="3"/>
      <c r="K140" s="3"/>
    </row>
    <row r="141" spans="1:11">
      <c r="A141" s="9"/>
      <c r="B141" s="3"/>
      <c r="C141" s="3"/>
      <c r="D141" s="3"/>
      <c r="E141" s="3"/>
      <c r="F141" s="3"/>
      <c r="G141" s="9"/>
      <c r="H141" s="9"/>
      <c r="I141" s="9"/>
      <c r="J141" s="3"/>
      <c r="K141" s="3"/>
    </row>
    <row r="142" spans="1:11">
      <c r="A142" s="11" t="s">
        <v>30</v>
      </c>
      <c r="B142" s="8" t="s">
        <v>733</v>
      </c>
      <c r="C142" s="8" t="s">
        <v>86</v>
      </c>
      <c r="D142" s="8" t="s">
        <v>86</v>
      </c>
      <c r="E142" s="8" t="s">
        <v>86</v>
      </c>
      <c r="F142" s="8" t="s">
        <v>733</v>
      </c>
      <c r="G142" s="8"/>
      <c r="H142" s="9">
        <v>6317</v>
      </c>
      <c r="I142" s="8" t="s">
        <v>99</v>
      </c>
      <c r="J142" s="3"/>
      <c r="K142" s="3"/>
    </row>
    <row r="143" spans="1:11">
      <c r="A143" s="9"/>
      <c r="B143" s="11">
        <v>26031</v>
      </c>
      <c r="C143" s="9">
        <v>53499</v>
      </c>
      <c r="D143" s="9">
        <v>6998</v>
      </c>
      <c r="E143" s="9">
        <v>3608</v>
      </c>
      <c r="F143" s="9">
        <v>1666</v>
      </c>
      <c r="G143" s="9"/>
      <c r="H143" s="9"/>
      <c r="I143" s="11"/>
      <c r="J143" s="3"/>
      <c r="K143" s="3"/>
    </row>
    <row r="144" spans="1:11">
      <c r="A144" s="9"/>
      <c r="B144" s="3"/>
      <c r="C144" s="3"/>
      <c r="D144" s="3"/>
      <c r="E144" s="3"/>
      <c r="F144" s="3"/>
      <c r="G144" s="3"/>
      <c r="H144" s="3"/>
      <c r="I144" s="9"/>
      <c r="J144" s="3"/>
      <c r="K144" s="3"/>
    </row>
    <row r="145" spans="1:11">
      <c r="A145" s="41" t="s">
        <v>31</v>
      </c>
      <c r="B145" s="37" t="s">
        <v>72</v>
      </c>
      <c r="C145" s="37"/>
      <c r="D145" s="37" t="s">
        <v>72</v>
      </c>
      <c r="E145" s="39"/>
      <c r="F145" s="42" t="s">
        <v>72</v>
      </c>
      <c r="G145" s="37"/>
      <c r="H145" s="38">
        <v>28893</v>
      </c>
      <c r="I145" s="37" t="s">
        <v>92</v>
      </c>
      <c r="J145" s="3"/>
      <c r="K145" s="3"/>
    </row>
    <row r="146" spans="1:11">
      <c r="A146" s="38"/>
      <c r="B146" s="38">
        <v>70461</v>
      </c>
      <c r="C146" s="38"/>
      <c r="D146" s="38">
        <v>7908</v>
      </c>
      <c r="E146" s="39"/>
      <c r="F146" s="39">
        <v>4247</v>
      </c>
      <c r="G146" s="38"/>
      <c r="H146" s="38"/>
      <c r="I146" s="41"/>
      <c r="J146" s="3"/>
      <c r="K146" s="3"/>
    </row>
    <row r="147" spans="1:11">
      <c r="A147" s="9"/>
      <c r="B147" s="3"/>
      <c r="C147" s="3"/>
      <c r="D147" s="3"/>
      <c r="E147" s="3"/>
      <c r="F147" s="3"/>
      <c r="G147" s="3"/>
      <c r="H147" s="9"/>
      <c r="I147" s="9"/>
      <c r="J147" s="3"/>
      <c r="K147" s="3"/>
    </row>
    <row r="148" spans="1:11">
      <c r="A148" s="11" t="s">
        <v>34</v>
      </c>
      <c r="B148" s="8" t="s">
        <v>734</v>
      </c>
      <c r="C148" s="8" t="s">
        <v>106</v>
      </c>
      <c r="D148" s="8" t="s">
        <v>643</v>
      </c>
      <c r="E148" s="8" t="s">
        <v>106</v>
      </c>
      <c r="F148" s="8" t="s">
        <v>758</v>
      </c>
      <c r="G148" s="8"/>
      <c r="H148" s="9">
        <v>7125</v>
      </c>
      <c r="I148" s="8" t="s">
        <v>651</v>
      </c>
      <c r="J148" s="3"/>
      <c r="K148" s="3"/>
    </row>
    <row r="149" spans="1:11">
      <c r="A149" s="9"/>
      <c r="B149" s="11">
        <v>31370</v>
      </c>
      <c r="C149" s="9">
        <v>39601</v>
      </c>
      <c r="D149" s="9">
        <v>5033</v>
      </c>
      <c r="E149" s="9">
        <v>4061</v>
      </c>
      <c r="F149" s="9">
        <v>5938</v>
      </c>
      <c r="G149" s="9"/>
      <c r="H149" s="9"/>
      <c r="I149" s="11"/>
      <c r="J149" s="3"/>
      <c r="K149" s="3"/>
    </row>
    <row r="150" spans="1:1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>
      <c r="A151" s="41" t="s">
        <v>37</v>
      </c>
      <c r="B151" s="37"/>
      <c r="C151" s="37" t="s">
        <v>451</v>
      </c>
      <c r="D151" s="37" t="s">
        <v>451</v>
      </c>
      <c r="E151" s="37" t="s">
        <v>451</v>
      </c>
      <c r="F151" s="37"/>
      <c r="G151" s="40"/>
      <c r="H151" s="38">
        <v>25449</v>
      </c>
      <c r="I151" s="37" t="s">
        <v>735</v>
      </c>
      <c r="J151" s="9"/>
      <c r="K151" s="3"/>
    </row>
    <row r="152" spans="1:11">
      <c r="A152" s="38"/>
      <c r="B152" s="38"/>
      <c r="C152" s="38">
        <v>38571</v>
      </c>
      <c r="D152" s="38">
        <v>6421</v>
      </c>
      <c r="E152" s="38">
        <v>3769</v>
      </c>
      <c r="F152" s="38"/>
      <c r="G152" s="38"/>
      <c r="H152" s="38"/>
      <c r="I152" s="41"/>
      <c r="J152" s="3"/>
      <c r="K152" s="3"/>
    </row>
    <row r="153" spans="1:11">
      <c r="A153" s="39"/>
      <c r="B153" s="39"/>
      <c r="C153" s="39"/>
      <c r="D153" s="39"/>
      <c r="E153" s="39"/>
      <c r="F153" s="39"/>
      <c r="G153" s="39"/>
      <c r="H153" s="39"/>
      <c r="I153" s="39"/>
      <c r="J153" s="3"/>
      <c r="K153" s="3"/>
    </row>
    <row r="154" spans="1:11" ht="17.25">
      <c r="A154" s="41" t="s">
        <v>753</v>
      </c>
      <c r="B154" s="42" t="s">
        <v>574</v>
      </c>
      <c r="C154" s="42" t="s">
        <v>736</v>
      </c>
      <c r="D154" s="42" t="s">
        <v>736</v>
      </c>
      <c r="E154" s="42" t="s">
        <v>736</v>
      </c>
      <c r="F154" s="42" t="s">
        <v>574</v>
      </c>
      <c r="G154" s="42"/>
      <c r="H154" s="42">
        <v>309</v>
      </c>
      <c r="I154" s="42" t="s">
        <v>653</v>
      </c>
      <c r="J154" s="3"/>
      <c r="K154" s="3"/>
    </row>
    <row r="155" spans="1:11">
      <c r="A155" s="39"/>
      <c r="B155" s="38">
        <v>27488</v>
      </c>
      <c r="C155" s="38">
        <v>22336</v>
      </c>
      <c r="D155" s="38">
        <v>2424</v>
      </c>
      <c r="E155" s="38">
        <v>1902</v>
      </c>
      <c r="F155" s="38">
        <v>2016</v>
      </c>
      <c r="G155" s="38"/>
      <c r="H155" s="39"/>
      <c r="I155" s="39"/>
      <c r="J155" s="3"/>
      <c r="K155" s="3"/>
    </row>
    <row r="156" spans="1:1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>
      <c r="A158" s="11" t="s">
        <v>39</v>
      </c>
      <c r="B158" s="8" t="s">
        <v>98</v>
      </c>
      <c r="C158" s="8" t="s">
        <v>432</v>
      </c>
      <c r="D158" s="8" t="s">
        <v>432</v>
      </c>
      <c r="E158" s="8" t="s">
        <v>432</v>
      </c>
      <c r="F158" s="8" t="s">
        <v>98</v>
      </c>
      <c r="G158" s="8"/>
      <c r="H158" s="9">
        <v>4045</v>
      </c>
      <c r="I158" s="8" t="s">
        <v>737</v>
      </c>
      <c r="J158" s="9"/>
      <c r="K158" s="3"/>
    </row>
    <row r="159" spans="1:11">
      <c r="A159" s="9"/>
      <c r="B159" s="9">
        <v>50075</v>
      </c>
      <c r="C159" s="9">
        <v>30502</v>
      </c>
      <c r="D159" s="9">
        <v>2656</v>
      </c>
      <c r="E159" s="9">
        <v>3717</v>
      </c>
      <c r="F159" s="9">
        <v>3480</v>
      </c>
      <c r="G159" s="9"/>
      <c r="H159" s="9"/>
      <c r="I159" s="11"/>
      <c r="J159" s="3"/>
      <c r="K159" s="3"/>
    </row>
    <row r="160" spans="1:1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>
      <c r="A161" s="41" t="s">
        <v>43</v>
      </c>
      <c r="B161" s="37" t="s">
        <v>655</v>
      </c>
      <c r="C161" s="37" t="s">
        <v>87</v>
      </c>
      <c r="D161" s="37" t="s">
        <v>87</v>
      </c>
      <c r="E161" s="37" t="s">
        <v>87</v>
      </c>
      <c r="F161" s="37" t="s">
        <v>87</v>
      </c>
      <c r="G161" s="37"/>
      <c r="H161" s="38">
        <v>6123</v>
      </c>
      <c r="I161" s="37" t="s">
        <v>40</v>
      </c>
      <c r="J161" s="9"/>
      <c r="K161" s="3"/>
    </row>
    <row r="162" spans="1:11">
      <c r="A162" s="38"/>
      <c r="B162" s="41">
        <v>35660</v>
      </c>
      <c r="C162" s="38">
        <v>48157</v>
      </c>
      <c r="D162" s="38">
        <v>6129</v>
      </c>
      <c r="E162" s="38">
        <v>4964</v>
      </c>
      <c r="F162" s="38">
        <v>2425</v>
      </c>
      <c r="G162" s="38"/>
      <c r="H162" s="38"/>
      <c r="I162" s="41"/>
      <c r="J162" s="3"/>
      <c r="K162" s="3"/>
    </row>
    <row r="163" spans="1:11">
      <c r="A163" s="9"/>
      <c r="B163" s="3"/>
      <c r="C163" s="3"/>
      <c r="D163" s="3"/>
      <c r="E163" s="3"/>
      <c r="F163" s="3"/>
      <c r="G163" s="3"/>
      <c r="H163" s="9"/>
      <c r="I163" s="9"/>
      <c r="J163" s="3"/>
      <c r="K163" s="3"/>
    </row>
    <row r="164" spans="1:11">
      <c r="A164" s="11" t="s">
        <v>46</v>
      </c>
      <c r="B164" s="8"/>
      <c r="C164" s="8" t="s">
        <v>88</v>
      </c>
      <c r="D164" s="8" t="s">
        <v>88</v>
      </c>
      <c r="E164" s="8" t="s">
        <v>88</v>
      </c>
      <c r="F164" s="8"/>
      <c r="G164" s="8"/>
      <c r="H164" s="9">
        <v>38120</v>
      </c>
      <c r="I164" s="8" t="s">
        <v>44</v>
      </c>
      <c r="J164" s="9"/>
      <c r="K164" s="3"/>
    </row>
    <row r="165" spans="1:11">
      <c r="A165" s="9"/>
      <c r="B165" s="9"/>
      <c r="C165" s="9">
        <v>46820</v>
      </c>
      <c r="D165" s="9">
        <v>7793</v>
      </c>
      <c r="E165" s="9">
        <v>4611</v>
      </c>
      <c r="F165" s="9"/>
      <c r="G165" s="9"/>
      <c r="H165" s="9"/>
      <c r="I165" s="11"/>
      <c r="J165" s="3"/>
      <c r="K165" s="3"/>
    </row>
    <row r="166" spans="1:11">
      <c r="A166" s="9"/>
      <c r="B166" s="3"/>
      <c r="C166" s="3"/>
      <c r="D166" s="3"/>
      <c r="E166" s="3"/>
      <c r="F166" s="3"/>
      <c r="G166" s="3"/>
      <c r="H166" s="9"/>
      <c r="I166" s="9"/>
      <c r="J166" s="3"/>
      <c r="K166" s="3"/>
    </row>
    <row r="167" spans="1:11">
      <c r="A167" s="41" t="s">
        <v>48</v>
      </c>
      <c r="B167" s="37" t="s">
        <v>738</v>
      </c>
      <c r="C167" s="37" t="s">
        <v>418</v>
      </c>
      <c r="D167" s="37" t="s">
        <v>418</v>
      </c>
      <c r="E167" s="37" t="s">
        <v>418</v>
      </c>
      <c r="F167" s="37" t="s">
        <v>738</v>
      </c>
      <c r="G167" s="37"/>
      <c r="H167" s="38">
        <v>3773</v>
      </c>
      <c r="I167" s="37" t="s">
        <v>419</v>
      </c>
      <c r="J167" s="9"/>
      <c r="K167" s="3"/>
    </row>
    <row r="168" spans="1:11">
      <c r="A168" s="38"/>
      <c r="B168" s="38">
        <v>34614</v>
      </c>
      <c r="C168" s="38">
        <v>46473</v>
      </c>
      <c r="D168" s="38">
        <v>3750</v>
      </c>
      <c r="E168" s="38">
        <v>2672</v>
      </c>
      <c r="F168" s="38">
        <v>2488</v>
      </c>
      <c r="G168" s="38"/>
      <c r="H168" s="38"/>
      <c r="I168" s="41"/>
      <c r="J168" s="3"/>
      <c r="K168" s="3"/>
    </row>
    <row r="169" spans="1:11">
      <c r="A169" s="9"/>
      <c r="B169" s="3"/>
      <c r="C169" s="3"/>
      <c r="D169" s="3"/>
      <c r="E169" s="3"/>
      <c r="F169" s="3"/>
      <c r="G169" s="3"/>
      <c r="H169" s="9"/>
      <c r="I169" s="9"/>
      <c r="J169" s="3"/>
      <c r="K169" s="3"/>
    </row>
    <row r="170" spans="1:11">
      <c r="A170" s="11" t="s">
        <v>50</v>
      </c>
      <c r="B170" s="8"/>
      <c r="C170" s="8" t="s">
        <v>658</v>
      </c>
      <c r="D170" s="8" t="s">
        <v>658</v>
      </c>
      <c r="E170" s="8" t="s">
        <v>658</v>
      </c>
      <c r="F170" s="8"/>
      <c r="G170" s="8"/>
      <c r="H170" s="9">
        <v>37228</v>
      </c>
      <c r="I170" s="8" t="s">
        <v>659</v>
      </c>
      <c r="J170" s="9"/>
      <c r="K170" s="3"/>
    </row>
    <row r="171" spans="1:11">
      <c r="A171" s="9"/>
      <c r="B171" s="11"/>
      <c r="C171" s="9">
        <v>43382</v>
      </c>
      <c r="D171" s="9">
        <v>5301</v>
      </c>
      <c r="E171" s="9">
        <v>2739</v>
      </c>
      <c r="F171" s="9"/>
      <c r="G171" s="9"/>
      <c r="H171" s="9"/>
      <c r="I171" s="11"/>
      <c r="J171" s="3"/>
      <c r="K171" s="3"/>
    </row>
    <row r="172" spans="1:11">
      <c r="A172" s="9"/>
      <c r="B172" s="3"/>
      <c r="C172" s="3"/>
      <c r="D172" s="3"/>
      <c r="E172" s="3"/>
      <c r="F172" s="3"/>
      <c r="G172" s="3"/>
      <c r="H172" s="9"/>
      <c r="I172" s="9"/>
      <c r="J172" s="3"/>
      <c r="K172" s="3"/>
    </row>
    <row r="173" spans="1:11">
      <c r="A173" s="41" t="s">
        <v>51</v>
      </c>
      <c r="B173" s="37"/>
      <c r="C173" s="37" t="s">
        <v>420</v>
      </c>
      <c r="D173" s="37" t="s">
        <v>420</v>
      </c>
      <c r="E173" s="37" t="s">
        <v>420</v>
      </c>
      <c r="F173" s="37"/>
      <c r="G173" s="37"/>
      <c r="H173" s="38">
        <v>34178</v>
      </c>
      <c r="I173" s="37" t="s">
        <v>421</v>
      </c>
      <c r="J173" s="9"/>
      <c r="K173" s="3"/>
    </row>
    <row r="174" spans="1:11">
      <c r="A174" s="38"/>
      <c r="B174" s="38"/>
      <c r="C174" s="38">
        <v>48880</v>
      </c>
      <c r="D174" s="38">
        <v>7469</v>
      </c>
      <c r="E174" s="38">
        <v>6146</v>
      </c>
      <c r="F174" s="38"/>
      <c r="G174" s="41"/>
      <c r="H174" s="38"/>
      <c r="I174" s="41"/>
      <c r="J174" s="3"/>
      <c r="K174" s="3"/>
    </row>
    <row r="175" spans="1:11">
      <c r="A175" s="9"/>
      <c r="B175" s="3"/>
      <c r="C175" s="3"/>
      <c r="D175" s="3"/>
      <c r="E175" s="3"/>
      <c r="F175" s="3"/>
      <c r="G175" s="3"/>
      <c r="H175" s="9"/>
      <c r="I175" s="9"/>
      <c r="J175" s="3"/>
      <c r="K175" s="3"/>
    </row>
    <row r="176" spans="1:11">
      <c r="A176" s="11" t="s">
        <v>53</v>
      </c>
      <c r="B176" s="8" t="s">
        <v>739</v>
      </c>
      <c r="C176" s="8" t="s">
        <v>581</v>
      </c>
      <c r="D176" s="8" t="s">
        <v>582</v>
      </c>
      <c r="E176" s="8" t="s">
        <v>582</v>
      </c>
      <c r="F176" s="8"/>
      <c r="G176" s="8"/>
      <c r="H176" s="9">
        <v>8442</v>
      </c>
      <c r="I176" s="8" t="s">
        <v>584</v>
      </c>
      <c r="J176" s="9"/>
      <c r="K176" s="3"/>
    </row>
    <row r="177" spans="1:11">
      <c r="A177" s="9"/>
      <c r="B177" s="9">
        <v>37778</v>
      </c>
      <c r="C177" s="9">
        <v>51784</v>
      </c>
      <c r="D177" s="9">
        <v>6107</v>
      </c>
      <c r="E177" s="9">
        <v>6807</v>
      </c>
      <c r="F177" s="9"/>
      <c r="G177" s="9"/>
      <c r="H177" s="9"/>
      <c r="I177" s="11"/>
      <c r="J177" s="3"/>
      <c r="K177" s="3"/>
    </row>
    <row r="178" spans="1:11">
      <c r="A178" s="9"/>
      <c r="B178" s="3"/>
      <c r="C178" s="3"/>
      <c r="D178" s="3"/>
      <c r="E178" s="3"/>
      <c r="F178" s="3"/>
      <c r="G178" s="3"/>
      <c r="H178" s="9"/>
      <c r="I178" s="9"/>
      <c r="J178" s="3"/>
      <c r="K178" s="3"/>
    </row>
    <row r="179" spans="1:11">
      <c r="A179" s="41" t="s">
        <v>55</v>
      </c>
      <c r="B179" s="37" t="s">
        <v>740</v>
      </c>
      <c r="C179" s="37" t="s">
        <v>89</v>
      </c>
      <c r="D179" s="37" t="s">
        <v>89</v>
      </c>
      <c r="E179" s="37" t="s">
        <v>89</v>
      </c>
      <c r="F179" s="37" t="s">
        <v>89</v>
      </c>
      <c r="G179" s="37"/>
      <c r="H179" s="38">
        <v>5298</v>
      </c>
      <c r="I179" s="37" t="s">
        <v>90</v>
      </c>
      <c r="J179" s="9"/>
      <c r="K179" s="3"/>
    </row>
    <row r="180" spans="1:11">
      <c r="A180" s="38"/>
      <c r="B180" s="40">
        <v>26434</v>
      </c>
      <c r="C180" s="40">
        <v>37965</v>
      </c>
      <c r="D180" s="40">
        <v>5777</v>
      </c>
      <c r="E180" s="40">
        <v>4526</v>
      </c>
      <c r="F180" s="40">
        <v>2143</v>
      </c>
      <c r="G180" s="38"/>
      <c r="H180" s="38"/>
      <c r="I180" s="41"/>
      <c r="J180" s="3"/>
      <c r="K180" s="3"/>
    </row>
    <row r="181" spans="1:11">
      <c r="A181" s="9"/>
      <c r="B181" s="3"/>
      <c r="C181" s="3"/>
      <c r="D181" s="3"/>
      <c r="E181" s="3"/>
      <c r="F181" s="3"/>
      <c r="G181" s="3"/>
      <c r="H181" s="9"/>
      <c r="I181" s="9"/>
      <c r="J181" s="3"/>
      <c r="K181" s="3"/>
    </row>
    <row r="182" spans="1:11">
      <c r="A182" s="11" t="s">
        <v>57</v>
      </c>
      <c r="B182" s="8"/>
      <c r="C182" s="8" t="s">
        <v>100</v>
      </c>
      <c r="D182" s="8" t="s">
        <v>100</v>
      </c>
      <c r="E182" s="8" t="s">
        <v>100</v>
      </c>
      <c r="F182" s="8"/>
      <c r="G182" s="8"/>
      <c r="H182" s="9">
        <v>26701</v>
      </c>
      <c r="I182" s="10" t="s">
        <v>741</v>
      </c>
      <c r="J182" s="9"/>
      <c r="K182" s="3"/>
    </row>
    <row r="183" spans="1:11">
      <c r="A183" s="9"/>
      <c r="B183" s="10"/>
      <c r="C183" s="10">
        <v>43280</v>
      </c>
      <c r="D183" s="10">
        <v>6703</v>
      </c>
      <c r="E183" s="10">
        <v>5277</v>
      </c>
      <c r="F183" s="10"/>
      <c r="G183" s="9"/>
      <c r="H183" s="9"/>
      <c r="I183" s="11"/>
      <c r="J183" s="3"/>
      <c r="K183" s="3"/>
    </row>
    <row r="184" spans="1:11">
      <c r="A184" s="9"/>
      <c r="B184" s="3"/>
      <c r="C184" s="3"/>
      <c r="D184" s="3"/>
      <c r="E184" s="3"/>
      <c r="F184" s="3"/>
      <c r="G184" s="3"/>
      <c r="H184" s="9"/>
      <c r="I184" s="9"/>
      <c r="J184" s="3"/>
      <c r="K184" s="3"/>
    </row>
    <row r="185" spans="1:11">
      <c r="A185" s="41" t="s">
        <v>60</v>
      </c>
      <c r="B185" s="37" t="s">
        <v>588</v>
      </c>
      <c r="C185" s="37" t="s">
        <v>742</v>
      </c>
      <c r="D185" s="37" t="s">
        <v>666</v>
      </c>
      <c r="E185" s="37" t="s">
        <v>666</v>
      </c>
      <c r="F185" s="37" t="s">
        <v>588</v>
      </c>
      <c r="G185" s="40"/>
      <c r="H185" s="38">
        <v>10412</v>
      </c>
      <c r="I185" s="37" t="s">
        <v>667</v>
      </c>
      <c r="J185" s="9"/>
      <c r="K185" s="3"/>
    </row>
    <row r="186" spans="1:11">
      <c r="A186" s="38"/>
      <c r="B186" s="40">
        <v>47898</v>
      </c>
      <c r="C186" s="38">
        <v>17614</v>
      </c>
      <c r="D186" s="40">
        <v>4243</v>
      </c>
      <c r="E186" s="40">
        <v>4155</v>
      </c>
      <c r="F186" s="40">
        <v>3716</v>
      </c>
      <c r="G186" s="38"/>
      <c r="H186" s="38"/>
      <c r="I186" s="41"/>
      <c r="J186" s="3"/>
      <c r="K186" s="3"/>
    </row>
    <row r="187" spans="1:11">
      <c r="A187" s="9"/>
      <c r="B187" s="3"/>
      <c r="C187" s="3"/>
      <c r="D187" s="3"/>
      <c r="E187" s="3"/>
      <c r="F187" s="3"/>
      <c r="G187" s="3"/>
      <c r="H187" s="9"/>
      <c r="I187" s="9"/>
      <c r="J187" s="3"/>
      <c r="K187" s="3"/>
    </row>
    <row r="188" spans="1:11">
      <c r="A188" s="11" t="s">
        <v>61</v>
      </c>
      <c r="B188" s="8" t="s">
        <v>189</v>
      </c>
      <c r="C188" s="8" t="s">
        <v>670</v>
      </c>
      <c r="D188" s="8" t="s">
        <v>670</v>
      </c>
      <c r="E188" s="8" t="s">
        <v>671</v>
      </c>
      <c r="F188" s="8"/>
      <c r="G188" s="10"/>
      <c r="H188" s="9">
        <v>9704</v>
      </c>
      <c r="I188" s="8" t="s">
        <v>672</v>
      </c>
      <c r="J188" s="9"/>
      <c r="K188" s="3"/>
    </row>
    <row r="189" spans="1:11">
      <c r="A189" s="9"/>
      <c r="B189" s="10">
        <v>35911</v>
      </c>
      <c r="C189" s="9">
        <v>45575</v>
      </c>
      <c r="D189" s="10">
        <v>5176</v>
      </c>
      <c r="E189" s="10">
        <v>6495</v>
      </c>
      <c r="F189" s="10"/>
      <c r="G189" s="9"/>
      <c r="H189" s="9"/>
      <c r="I189" s="11"/>
      <c r="J189" s="3"/>
      <c r="K189" s="3"/>
    </row>
    <row r="190" spans="1:11">
      <c r="A190" s="9"/>
      <c r="B190" s="3"/>
      <c r="C190" s="3"/>
      <c r="D190" s="3"/>
      <c r="E190" s="3"/>
      <c r="F190" s="3"/>
      <c r="G190" s="3"/>
      <c r="H190" s="9"/>
      <c r="I190" s="9"/>
      <c r="J190" s="3"/>
      <c r="K190" s="3"/>
    </row>
    <row r="191" spans="1:11">
      <c r="A191" s="41" t="s">
        <v>62</v>
      </c>
      <c r="B191" s="37" t="s">
        <v>401</v>
      </c>
      <c r="C191" s="37"/>
      <c r="D191" s="37" t="s">
        <v>592</v>
      </c>
      <c r="E191" s="37"/>
      <c r="F191" s="37" t="s">
        <v>401</v>
      </c>
      <c r="G191" s="40"/>
      <c r="H191" s="38">
        <v>14964</v>
      </c>
      <c r="I191" s="37" t="s">
        <v>673</v>
      </c>
      <c r="J191" s="9"/>
      <c r="K191" s="3"/>
    </row>
    <row r="192" spans="1:11">
      <c r="A192" s="38"/>
      <c r="B192" s="40">
        <v>34734</v>
      </c>
      <c r="C192" s="40"/>
      <c r="D192" s="40">
        <v>14528</v>
      </c>
      <c r="E192" s="40"/>
      <c r="F192" s="40">
        <v>2889</v>
      </c>
      <c r="G192" s="40"/>
      <c r="H192" s="38"/>
      <c r="I192" s="41"/>
      <c r="J192" s="3"/>
      <c r="K192" s="3"/>
    </row>
    <row r="193" spans="1:11">
      <c r="A193" s="9"/>
      <c r="B193" s="26"/>
      <c r="C193" s="27"/>
      <c r="D193" s="27"/>
      <c r="E193" s="27"/>
      <c r="F193" s="27"/>
      <c r="G193" s="9"/>
      <c r="H193" s="9"/>
      <c r="I193" s="9"/>
      <c r="J193" s="3"/>
      <c r="K193" s="3"/>
    </row>
    <row r="194" spans="1:11">
      <c r="A194" s="11" t="s">
        <v>64</v>
      </c>
      <c r="B194" s="8" t="s">
        <v>743</v>
      </c>
      <c r="C194" s="8" t="s">
        <v>744</v>
      </c>
      <c r="D194" s="8" t="s">
        <v>744</v>
      </c>
      <c r="E194" s="8" t="s">
        <v>744</v>
      </c>
      <c r="F194" s="8"/>
      <c r="G194" s="10"/>
      <c r="H194" s="9">
        <v>9864</v>
      </c>
      <c r="I194" s="8" t="s">
        <v>745</v>
      </c>
      <c r="J194" s="9"/>
      <c r="K194" s="3"/>
    </row>
    <row r="195" spans="1:11">
      <c r="A195" s="9"/>
      <c r="B195" s="10">
        <v>31423</v>
      </c>
      <c r="C195" s="10">
        <v>52936</v>
      </c>
      <c r="D195" s="10">
        <v>7017</v>
      </c>
      <c r="E195" s="10">
        <v>7263</v>
      </c>
      <c r="F195" s="10"/>
      <c r="G195" s="10"/>
      <c r="H195" s="9"/>
      <c r="I195" s="9"/>
      <c r="J195" s="3"/>
      <c r="K195" s="3"/>
    </row>
    <row r="196" spans="1:11">
      <c r="A196" s="9"/>
      <c r="B196" s="10"/>
      <c r="C196" s="10"/>
      <c r="D196" s="10"/>
      <c r="E196" s="10"/>
      <c r="F196" s="10"/>
      <c r="G196" s="10"/>
      <c r="H196" s="9"/>
      <c r="I196" s="9"/>
      <c r="J196" s="3"/>
      <c r="K196" s="3"/>
    </row>
    <row r="197" spans="1:11">
      <c r="A197" s="38" t="s">
        <v>91</v>
      </c>
      <c r="B197" s="40" t="s">
        <v>746</v>
      </c>
      <c r="C197" s="40" t="s">
        <v>506</v>
      </c>
      <c r="D197" s="40" t="s">
        <v>506</v>
      </c>
      <c r="E197" s="40" t="s">
        <v>506</v>
      </c>
      <c r="F197" s="40"/>
      <c r="G197" s="40"/>
      <c r="H197" s="38">
        <v>9078</v>
      </c>
      <c r="I197" s="40" t="s">
        <v>507</v>
      </c>
      <c r="J197" s="9"/>
      <c r="K197" s="3"/>
    </row>
    <row r="198" spans="1:11">
      <c r="A198" s="38"/>
      <c r="B198" s="40">
        <v>24799</v>
      </c>
      <c r="C198" s="40">
        <v>46273</v>
      </c>
      <c r="D198" s="40">
        <v>5798</v>
      </c>
      <c r="E198" s="40">
        <v>6439</v>
      </c>
      <c r="F198" s="40"/>
      <c r="G198" s="40"/>
      <c r="H198" s="38"/>
      <c r="I198" s="38"/>
      <c r="J198" s="3"/>
      <c r="K198" s="3"/>
    </row>
    <row r="199" spans="1:11">
      <c r="A199" s="28"/>
      <c r="B199" s="28"/>
      <c r="C199" s="28"/>
      <c r="D199" s="28"/>
      <c r="E199" s="28"/>
      <c r="F199" s="28"/>
      <c r="G199" s="28"/>
      <c r="H199" s="28"/>
      <c r="I199" s="28"/>
      <c r="J199" s="3"/>
      <c r="K199" s="3"/>
    </row>
    <row r="200" spans="1:11">
      <c r="A200" s="11" t="s">
        <v>66</v>
      </c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>
      <c r="A201" s="17" t="s">
        <v>747</v>
      </c>
      <c r="B201" s="15"/>
      <c r="C201" s="3"/>
      <c r="D201" s="3"/>
      <c r="E201" s="3"/>
      <c r="F201" s="3"/>
      <c r="G201" s="3"/>
      <c r="H201" s="3"/>
      <c r="I201" s="3"/>
      <c r="J201" s="3"/>
      <c r="K201" s="3"/>
    </row>
    <row r="202" spans="1:11">
      <c r="A202" s="17" t="s">
        <v>748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>
      <c r="A203" s="9" t="s">
        <v>749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>
      <c r="A204" s="9" t="s">
        <v>750</v>
      </c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>
      <c r="A205" s="9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>
      <c r="A206" s="72" t="s">
        <v>751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>
      <c r="A207" s="9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>
      <c r="A208" s="9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</sheetData>
  <hyperlinks>
    <hyperlink ref="A206" r:id="rId1"/>
  </hyperlinks>
  <pageMargins left="0.7" right="0.7" top="0.75" bottom="0.75" header="0.3" footer="0.3"/>
  <pageSetup scale="69" fitToHeight="5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0"/>
  <sheetViews>
    <sheetView workbookViewId="0"/>
  </sheetViews>
  <sheetFormatPr defaultColWidth="15.77734375" defaultRowHeight="15.75"/>
  <cols>
    <col min="1" max="1" width="17.77734375" customWidth="1"/>
    <col min="11" max="11" width="25.77734375" customWidth="1"/>
  </cols>
  <sheetData>
    <row r="1" spans="1:13" ht="20.25">
      <c r="A1" s="29" t="s">
        <v>0</v>
      </c>
      <c r="B1" s="5"/>
      <c r="C1" s="5"/>
      <c r="D1" s="5"/>
      <c r="E1" s="5"/>
      <c r="F1" s="5"/>
      <c r="G1" s="5"/>
      <c r="H1" s="5"/>
      <c r="I1" s="3"/>
      <c r="J1" s="3"/>
      <c r="K1" s="3"/>
      <c r="L1" s="3"/>
      <c r="M1" s="3"/>
    </row>
    <row r="2" spans="1:13" ht="20.25">
      <c r="A2" s="30" t="s">
        <v>816</v>
      </c>
      <c r="B2" s="5"/>
      <c r="C2" s="5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9.25">
      <c r="A4" s="31" t="s">
        <v>1</v>
      </c>
      <c r="B4" s="32" t="s">
        <v>73</v>
      </c>
      <c r="C4" s="33" t="s">
        <v>2</v>
      </c>
      <c r="D4" s="33" t="s">
        <v>760</v>
      </c>
      <c r="E4" s="33" t="s">
        <v>80</v>
      </c>
      <c r="F4" s="34" t="s">
        <v>196</v>
      </c>
      <c r="G4" s="34" t="s">
        <v>200</v>
      </c>
      <c r="H4" s="34" t="s">
        <v>201</v>
      </c>
      <c r="I4" s="33" t="s">
        <v>195</v>
      </c>
      <c r="J4" s="35" t="s">
        <v>197</v>
      </c>
      <c r="K4" s="33" t="s">
        <v>3</v>
      </c>
      <c r="L4" s="3"/>
      <c r="M4" s="3"/>
    </row>
    <row r="5" spans="1:13">
      <c r="A5" s="3"/>
      <c r="B5" s="6"/>
      <c r="C5" s="6"/>
      <c r="D5" s="6"/>
      <c r="E5" s="6"/>
      <c r="F5" s="6"/>
      <c r="G5" s="6"/>
      <c r="H5" s="6"/>
      <c r="I5" s="6"/>
      <c r="J5" s="6"/>
      <c r="K5" s="3"/>
      <c r="L5" s="3"/>
      <c r="M5" s="3"/>
    </row>
    <row r="6" spans="1:13">
      <c r="A6" s="7" t="s">
        <v>4</v>
      </c>
      <c r="B6" s="8" t="s">
        <v>762</v>
      </c>
      <c r="C6" s="8" t="s">
        <v>684</v>
      </c>
      <c r="D6" s="8" t="s">
        <v>684</v>
      </c>
      <c r="E6" s="8" t="s">
        <v>74</v>
      </c>
      <c r="F6" s="8"/>
      <c r="G6" s="8"/>
      <c r="H6" s="8"/>
      <c r="I6" s="8"/>
      <c r="J6" s="9">
        <v>19602</v>
      </c>
      <c r="K6" s="8" t="s">
        <v>685</v>
      </c>
      <c r="L6" s="3"/>
      <c r="M6" s="3"/>
    </row>
    <row r="7" spans="1:13">
      <c r="A7" s="3"/>
      <c r="B7" s="10">
        <v>45446</v>
      </c>
      <c r="C7" s="10">
        <v>77090</v>
      </c>
      <c r="D7" s="10">
        <v>5744</v>
      </c>
      <c r="E7" s="10">
        <v>7668</v>
      </c>
      <c r="F7" s="10"/>
      <c r="G7" s="10"/>
      <c r="H7" s="10"/>
      <c r="I7" s="10"/>
      <c r="J7" s="9"/>
      <c r="K7" s="11"/>
      <c r="L7" s="3"/>
      <c r="M7" s="3"/>
    </row>
    <row r="8" spans="1:13">
      <c r="A8" s="3"/>
      <c r="B8" s="9"/>
      <c r="C8" s="9"/>
      <c r="D8" s="9"/>
      <c r="E8" s="9"/>
      <c r="F8" s="9"/>
      <c r="G8" s="9"/>
      <c r="H8" s="9"/>
      <c r="I8" s="9"/>
      <c r="J8" s="9"/>
      <c r="K8" s="9"/>
      <c r="L8" s="3"/>
      <c r="M8" s="3"/>
    </row>
    <row r="9" spans="1:13">
      <c r="A9" s="36" t="s">
        <v>6</v>
      </c>
      <c r="B9" s="37" t="s">
        <v>368</v>
      </c>
      <c r="C9" s="37" t="s">
        <v>81</v>
      </c>
      <c r="D9" s="37" t="s">
        <v>81</v>
      </c>
      <c r="E9" s="37" t="s">
        <v>81</v>
      </c>
      <c r="F9" s="37" t="s">
        <v>81</v>
      </c>
      <c r="G9" s="37"/>
      <c r="H9" s="37"/>
      <c r="I9" s="37"/>
      <c r="J9" s="38">
        <v>23020</v>
      </c>
      <c r="K9" s="37" t="s">
        <v>82</v>
      </c>
      <c r="L9" s="3"/>
      <c r="M9" s="3"/>
    </row>
    <row r="10" spans="1:13">
      <c r="A10" s="39"/>
      <c r="B10" s="40">
        <v>49003</v>
      </c>
      <c r="C10" s="40">
        <v>66898</v>
      </c>
      <c r="D10" s="40">
        <v>5533</v>
      </c>
      <c r="E10" s="40">
        <v>4720</v>
      </c>
      <c r="F10" s="40">
        <v>1962</v>
      </c>
      <c r="G10" s="40"/>
      <c r="H10" s="40"/>
      <c r="I10" s="40"/>
      <c r="J10" s="38"/>
      <c r="K10" s="41"/>
      <c r="L10" s="3"/>
      <c r="M10" s="3"/>
    </row>
    <row r="11" spans="1:13">
      <c r="A11" s="3"/>
      <c r="B11" s="9"/>
      <c r="C11" s="9"/>
      <c r="D11" s="9"/>
      <c r="E11" s="9"/>
      <c r="F11" s="9"/>
      <c r="G11" s="9"/>
      <c r="H11" s="9"/>
      <c r="I11" s="9"/>
      <c r="J11" s="9"/>
      <c r="K11" s="9"/>
      <c r="L11" s="3"/>
      <c r="M11" s="3"/>
    </row>
    <row r="12" spans="1:13">
      <c r="A12" s="7" t="s">
        <v>7</v>
      </c>
      <c r="B12" s="8" t="s">
        <v>687</v>
      </c>
      <c r="C12" s="8" t="s">
        <v>604</v>
      </c>
      <c r="D12" s="8" t="s">
        <v>604</v>
      </c>
      <c r="E12" s="8" t="s">
        <v>605</v>
      </c>
      <c r="F12" s="8" t="s">
        <v>605</v>
      </c>
      <c r="G12" s="8"/>
      <c r="H12" s="8"/>
      <c r="I12" s="8"/>
      <c r="J12" s="9">
        <v>18995</v>
      </c>
      <c r="K12" s="8" t="s">
        <v>688</v>
      </c>
      <c r="L12" s="3"/>
      <c r="M12" s="3"/>
    </row>
    <row r="13" spans="1:13">
      <c r="A13" s="3"/>
      <c r="B13" s="10">
        <v>41590</v>
      </c>
      <c r="C13" s="10">
        <v>50489</v>
      </c>
      <c r="D13" s="10">
        <v>3833</v>
      </c>
      <c r="E13" s="10">
        <v>4504</v>
      </c>
      <c r="F13" s="10">
        <v>2237</v>
      </c>
      <c r="G13" s="10"/>
      <c r="H13" s="10"/>
      <c r="I13" s="10"/>
      <c r="J13" s="9"/>
      <c r="K13" s="11"/>
      <c r="L13" s="3"/>
      <c r="M13" s="3"/>
    </row>
    <row r="14" spans="1:13">
      <c r="A14" s="3"/>
      <c r="B14" s="9"/>
      <c r="C14" s="9"/>
      <c r="D14" s="9"/>
      <c r="E14" s="9"/>
      <c r="F14" s="9"/>
      <c r="G14" s="9"/>
      <c r="H14" s="9"/>
      <c r="I14" s="9"/>
      <c r="J14" s="9"/>
      <c r="K14" s="9"/>
      <c r="L14" s="3"/>
      <c r="M14" s="3"/>
    </row>
    <row r="15" spans="1:13">
      <c r="A15" s="36" t="s">
        <v>9</v>
      </c>
      <c r="B15" s="37"/>
      <c r="C15" s="37" t="s">
        <v>520</v>
      </c>
      <c r="D15" s="37" t="s">
        <v>520</v>
      </c>
      <c r="E15" s="37" t="s">
        <v>482</v>
      </c>
      <c r="F15" s="37" t="s">
        <v>482</v>
      </c>
      <c r="G15" s="37"/>
      <c r="H15" s="37"/>
      <c r="I15" s="37"/>
      <c r="J15" s="38">
        <v>57455</v>
      </c>
      <c r="K15" s="37" t="s">
        <v>521</v>
      </c>
      <c r="L15" s="3"/>
      <c r="M15" s="3"/>
    </row>
    <row r="16" spans="1:13">
      <c r="A16" s="39"/>
      <c r="B16" s="40"/>
      <c r="C16" s="40">
        <v>52291</v>
      </c>
      <c r="D16" s="40">
        <v>4549</v>
      </c>
      <c r="E16" s="40">
        <v>6420</v>
      </c>
      <c r="F16" s="40">
        <v>3049</v>
      </c>
      <c r="G16" s="40"/>
      <c r="H16" s="40"/>
      <c r="I16" s="40"/>
      <c r="J16" s="38"/>
      <c r="K16" s="41"/>
      <c r="L16" s="3"/>
      <c r="M16" s="3"/>
    </row>
    <row r="17" spans="1:13">
      <c r="A17" s="3"/>
      <c r="B17" s="9"/>
      <c r="C17" s="9"/>
      <c r="D17" s="9"/>
      <c r="E17" s="9"/>
      <c r="F17" s="9"/>
      <c r="G17" s="9"/>
      <c r="H17" s="9"/>
      <c r="I17" s="9"/>
      <c r="J17" s="9"/>
      <c r="K17" s="9"/>
      <c r="L17" s="3"/>
      <c r="M17" s="3"/>
    </row>
    <row r="18" spans="1:13">
      <c r="A18" s="7" t="s">
        <v>11</v>
      </c>
      <c r="B18" s="10" t="s">
        <v>763</v>
      </c>
      <c r="C18" s="10" t="s">
        <v>12</v>
      </c>
      <c r="D18" s="10" t="s">
        <v>12</v>
      </c>
      <c r="E18" s="10" t="s">
        <v>75</v>
      </c>
      <c r="F18" s="10" t="s">
        <v>75</v>
      </c>
      <c r="G18" s="10"/>
      <c r="H18" s="10"/>
      <c r="I18" s="10"/>
      <c r="J18" s="10">
        <v>16866</v>
      </c>
      <c r="K18" s="10" t="s">
        <v>13</v>
      </c>
      <c r="L18" s="3"/>
      <c r="M18" s="3"/>
    </row>
    <row r="19" spans="1:13">
      <c r="A19" s="3"/>
      <c r="B19" s="10">
        <v>58392</v>
      </c>
      <c r="C19" s="10">
        <v>67502</v>
      </c>
      <c r="D19" s="10">
        <v>4855</v>
      </c>
      <c r="E19" s="10">
        <v>4591</v>
      </c>
      <c r="F19" s="10">
        <v>1599</v>
      </c>
      <c r="G19" s="10"/>
      <c r="H19" s="10"/>
      <c r="I19" s="9"/>
      <c r="J19" s="9"/>
      <c r="K19" s="9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9"/>
      <c r="K20" s="9"/>
      <c r="L20" s="3"/>
      <c r="M20" s="3"/>
    </row>
    <row r="21" spans="1:13">
      <c r="A21" s="36" t="s">
        <v>15</v>
      </c>
      <c r="B21" s="40" t="s">
        <v>764</v>
      </c>
      <c r="C21" s="40" t="s">
        <v>16</v>
      </c>
      <c r="D21" s="40" t="s">
        <v>16</v>
      </c>
      <c r="E21" s="40" t="s">
        <v>76</v>
      </c>
      <c r="F21" s="40" t="s">
        <v>764</v>
      </c>
      <c r="G21" s="40"/>
      <c r="H21" s="40"/>
      <c r="I21" s="40"/>
      <c r="J21" s="40">
        <v>19781</v>
      </c>
      <c r="K21" s="40" t="s">
        <v>293</v>
      </c>
      <c r="L21" s="3"/>
      <c r="M21" s="3"/>
    </row>
    <row r="22" spans="1:13">
      <c r="A22" s="39"/>
      <c r="B22" s="40">
        <v>47394</v>
      </c>
      <c r="C22" s="40">
        <v>56769</v>
      </c>
      <c r="D22" s="40">
        <v>4692</v>
      </c>
      <c r="E22" s="40">
        <v>3089</v>
      </c>
      <c r="F22" s="40">
        <v>1236</v>
      </c>
      <c r="G22" s="40"/>
      <c r="H22" s="40"/>
      <c r="I22" s="40"/>
      <c r="J22" s="38"/>
      <c r="K22" s="38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9"/>
      <c r="J23" s="9"/>
      <c r="K23" s="9"/>
      <c r="L23" s="3"/>
      <c r="M23" s="3"/>
    </row>
    <row r="24" spans="1:13">
      <c r="A24" s="7" t="s">
        <v>18</v>
      </c>
      <c r="B24" s="8" t="s">
        <v>765</v>
      </c>
      <c r="C24" s="8" t="s">
        <v>692</v>
      </c>
      <c r="D24" s="8" t="s">
        <v>692</v>
      </c>
      <c r="E24" s="8" t="s">
        <v>692</v>
      </c>
      <c r="F24" s="8" t="s">
        <v>692</v>
      </c>
      <c r="G24" s="8"/>
      <c r="H24" s="8"/>
      <c r="I24" s="10"/>
      <c r="J24" s="10">
        <v>16684</v>
      </c>
      <c r="K24" s="8" t="s">
        <v>693</v>
      </c>
      <c r="L24" s="3"/>
      <c r="M24" s="3"/>
    </row>
    <row r="25" spans="1:13">
      <c r="A25" s="3"/>
      <c r="B25" s="10">
        <v>49787</v>
      </c>
      <c r="C25" s="10">
        <v>62998</v>
      </c>
      <c r="D25" s="10">
        <v>4273</v>
      </c>
      <c r="E25" s="10">
        <v>4292</v>
      </c>
      <c r="F25" s="10">
        <v>1890</v>
      </c>
      <c r="G25" s="10"/>
      <c r="H25" s="10"/>
      <c r="I25" s="10"/>
      <c r="J25" s="9"/>
      <c r="K25" s="11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9"/>
      <c r="K26" s="9"/>
      <c r="L26" s="3"/>
      <c r="M26" s="3"/>
    </row>
    <row r="27" spans="1:13">
      <c r="A27" s="36" t="s">
        <v>21</v>
      </c>
      <c r="B27" s="37" t="s">
        <v>766</v>
      </c>
      <c r="C27" s="37" t="s">
        <v>455</v>
      </c>
      <c r="D27" s="37" t="s">
        <v>455</v>
      </c>
      <c r="E27" s="37" t="s">
        <v>455</v>
      </c>
      <c r="F27" s="37"/>
      <c r="G27" s="37"/>
      <c r="H27" s="37"/>
      <c r="I27" s="37"/>
      <c r="J27" s="40">
        <v>17548</v>
      </c>
      <c r="K27" s="37" t="s">
        <v>457</v>
      </c>
      <c r="L27" s="3"/>
      <c r="M27" s="3"/>
    </row>
    <row r="28" spans="1:13">
      <c r="A28" s="39"/>
      <c r="B28" s="40">
        <v>44569</v>
      </c>
      <c r="C28" s="40">
        <v>66696</v>
      </c>
      <c r="D28" s="40">
        <v>5160</v>
      </c>
      <c r="E28" s="40">
        <v>4552</v>
      </c>
      <c r="F28" s="40"/>
      <c r="G28" s="40"/>
      <c r="H28" s="40"/>
      <c r="I28" s="40"/>
      <c r="J28" s="38"/>
      <c r="K28" s="41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9"/>
      <c r="J29" s="9"/>
      <c r="K29" s="9"/>
      <c r="L29" s="3"/>
      <c r="M29" s="3"/>
    </row>
    <row r="30" spans="1:13">
      <c r="A30" s="7" t="s">
        <v>23</v>
      </c>
      <c r="B30" s="8" t="s">
        <v>767</v>
      </c>
      <c r="C30" s="8" t="s">
        <v>378</v>
      </c>
      <c r="D30" s="8"/>
      <c r="E30" s="8" t="s">
        <v>379</v>
      </c>
      <c r="F30" s="8" t="s">
        <v>767</v>
      </c>
      <c r="G30" s="8"/>
      <c r="H30" s="8"/>
      <c r="I30" s="8"/>
      <c r="J30" s="10">
        <v>18005</v>
      </c>
      <c r="K30" s="8" t="s">
        <v>381</v>
      </c>
      <c r="L30" s="3"/>
      <c r="M30" s="3"/>
    </row>
    <row r="31" spans="1:13">
      <c r="A31" s="3"/>
      <c r="B31" s="10">
        <v>44278</v>
      </c>
      <c r="C31" s="10">
        <v>77682</v>
      </c>
      <c r="D31" s="10"/>
      <c r="E31" s="10">
        <v>5511</v>
      </c>
      <c r="F31" s="10">
        <v>1035</v>
      </c>
      <c r="G31" s="10"/>
      <c r="H31" s="10"/>
      <c r="I31" s="10"/>
      <c r="J31" s="9"/>
      <c r="K31" s="11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9"/>
      <c r="L32" s="3"/>
      <c r="M32" s="3"/>
    </row>
    <row r="33" spans="1:13">
      <c r="A33" s="36" t="s">
        <v>24</v>
      </c>
      <c r="B33" s="37" t="s">
        <v>462</v>
      </c>
      <c r="C33" s="39"/>
      <c r="D33" s="37"/>
      <c r="E33" s="37" t="s">
        <v>462</v>
      </c>
      <c r="F33" s="37" t="s">
        <v>462</v>
      </c>
      <c r="G33" s="37"/>
      <c r="H33" s="37"/>
      <c r="I33" s="37"/>
      <c r="J33" s="40">
        <v>30220</v>
      </c>
      <c r="K33" s="37" t="s">
        <v>768</v>
      </c>
      <c r="L33" s="3"/>
      <c r="M33" s="3"/>
    </row>
    <row r="34" spans="1:13">
      <c r="A34" s="39"/>
      <c r="B34" s="40">
        <v>62162</v>
      </c>
      <c r="C34" s="39"/>
      <c r="D34" s="40"/>
      <c r="E34" s="40">
        <v>1035</v>
      </c>
      <c r="F34" s="40">
        <v>1751</v>
      </c>
      <c r="G34" s="40"/>
      <c r="H34" s="40"/>
      <c r="I34" s="40"/>
      <c r="J34" s="38"/>
      <c r="K34" s="41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9"/>
      <c r="K35" s="9"/>
      <c r="L35" s="3"/>
      <c r="M35" s="3"/>
    </row>
    <row r="36" spans="1:13">
      <c r="A36" s="3" t="s">
        <v>26</v>
      </c>
      <c r="B36" s="10"/>
      <c r="C36" s="10" t="s">
        <v>528</v>
      </c>
      <c r="D36" s="10" t="s">
        <v>528</v>
      </c>
      <c r="E36" s="10" t="s">
        <v>528</v>
      </c>
      <c r="F36" s="10"/>
      <c r="G36" s="10"/>
      <c r="H36" s="10"/>
      <c r="I36" s="10"/>
      <c r="J36" s="9">
        <v>56684</v>
      </c>
      <c r="K36" s="8" t="s">
        <v>614</v>
      </c>
      <c r="L36" s="3"/>
      <c r="M36" s="3"/>
    </row>
    <row r="37" spans="1:13">
      <c r="A37" s="7"/>
      <c r="B37" s="11"/>
      <c r="C37" s="10">
        <v>36488</v>
      </c>
      <c r="D37" s="10">
        <v>3407</v>
      </c>
      <c r="E37" s="10">
        <v>5937</v>
      </c>
      <c r="F37" s="10"/>
      <c r="G37" s="10"/>
      <c r="H37" s="10"/>
      <c r="I37" s="11"/>
      <c r="J37" s="9"/>
      <c r="K37" s="11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9"/>
      <c r="K38" s="9"/>
      <c r="L38" s="3"/>
      <c r="M38" s="3"/>
    </row>
    <row r="39" spans="1:13">
      <c r="A39" s="39" t="s">
        <v>28</v>
      </c>
      <c r="B39" s="40" t="s">
        <v>615</v>
      </c>
      <c r="C39" s="40" t="s">
        <v>769</v>
      </c>
      <c r="D39" s="40"/>
      <c r="E39" s="40"/>
      <c r="F39" s="40"/>
      <c r="G39" s="40"/>
      <c r="H39" s="40"/>
      <c r="I39" s="40"/>
      <c r="J39" s="38">
        <v>21643</v>
      </c>
      <c r="K39" s="37" t="s">
        <v>617</v>
      </c>
      <c r="L39" s="3"/>
      <c r="M39" s="3"/>
    </row>
    <row r="40" spans="1:13">
      <c r="A40" s="36"/>
      <c r="B40" s="40">
        <v>48215</v>
      </c>
      <c r="C40" s="38">
        <v>11330</v>
      </c>
      <c r="D40" s="40"/>
      <c r="E40" s="40"/>
      <c r="F40" s="40"/>
      <c r="G40" s="40"/>
      <c r="H40" s="40"/>
      <c r="I40" s="40"/>
      <c r="J40" s="38"/>
      <c r="K40" s="41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9"/>
      <c r="L41" s="3"/>
      <c r="M41" s="3"/>
    </row>
    <row r="42" spans="1:13">
      <c r="A42" s="3" t="s">
        <v>29</v>
      </c>
      <c r="B42" s="10" t="s">
        <v>698</v>
      </c>
      <c r="C42" s="10"/>
      <c r="D42" s="10"/>
      <c r="E42" s="10"/>
      <c r="F42" s="10" t="s">
        <v>698</v>
      </c>
      <c r="G42" s="10"/>
      <c r="H42" s="10"/>
      <c r="I42" s="10"/>
      <c r="J42" s="9">
        <v>22493</v>
      </c>
      <c r="K42" s="8" t="s">
        <v>699</v>
      </c>
      <c r="L42" s="3"/>
      <c r="M42" s="3"/>
    </row>
    <row r="43" spans="1:13">
      <c r="A43" s="7"/>
      <c r="B43" s="10">
        <v>35868</v>
      </c>
      <c r="C43" s="9"/>
      <c r="D43" s="10"/>
      <c r="E43" s="10"/>
      <c r="F43" s="10">
        <v>1370</v>
      </c>
      <c r="G43" s="10"/>
      <c r="H43" s="10"/>
      <c r="I43" s="10"/>
      <c r="J43" s="9"/>
      <c r="K43" s="11"/>
      <c r="L43" s="3"/>
      <c r="M43" s="3"/>
    </row>
    <row r="44" spans="1:13">
      <c r="A44" s="7"/>
      <c r="B44" s="3"/>
      <c r="C44" s="3"/>
      <c r="D44" s="3"/>
      <c r="E44" s="3"/>
      <c r="F44" s="3"/>
      <c r="G44" s="3"/>
      <c r="H44" s="3"/>
      <c r="I44" s="3"/>
      <c r="J44" s="9"/>
      <c r="K44" s="11"/>
      <c r="L44" s="3"/>
      <c r="M44" s="3"/>
    </row>
    <row r="45" spans="1:13">
      <c r="A45" s="39" t="s">
        <v>32</v>
      </c>
      <c r="B45" s="37" t="s">
        <v>462</v>
      </c>
      <c r="C45" s="37" t="s">
        <v>462</v>
      </c>
      <c r="D45" s="37" t="s">
        <v>462</v>
      </c>
      <c r="E45" s="37"/>
      <c r="F45" s="37" t="s">
        <v>462</v>
      </c>
      <c r="G45" s="37"/>
      <c r="H45" s="37"/>
      <c r="I45" s="37"/>
      <c r="J45" s="38">
        <v>23525</v>
      </c>
      <c r="K45" s="40" t="s">
        <v>463</v>
      </c>
      <c r="L45" s="3"/>
      <c r="M45" s="3"/>
    </row>
    <row r="46" spans="1:13">
      <c r="A46" s="39"/>
      <c r="B46" s="40">
        <v>60165</v>
      </c>
      <c r="C46" s="38">
        <v>9181</v>
      </c>
      <c r="D46" s="40">
        <v>1141</v>
      </c>
      <c r="E46" s="40"/>
      <c r="F46" s="40">
        <v>1613</v>
      </c>
      <c r="G46" s="40"/>
      <c r="H46" s="40"/>
      <c r="I46" s="38"/>
      <c r="J46" s="38"/>
      <c r="K46" s="41"/>
      <c r="L46" s="3"/>
      <c r="M46" s="3"/>
    </row>
    <row r="47" spans="1:13">
      <c r="A47" s="7"/>
      <c r="B47" s="3"/>
      <c r="C47" s="3"/>
      <c r="D47" s="3"/>
      <c r="E47" s="3"/>
      <c r="F47" s="3"/>
      <c r="G47" s="3"/>
      <c r="H47" s="3"/>
      <c r="I47" s="3"/>
      <c r="J47" s="9"/>
      <c r="K47" s="11"/>
      <c r="L47" s="3"/>
      <c r="M47" s="3"/>
    </row>
    <row r="48" spans="1:13">
      <c r="A48" s="3" t="s">
        <v>33</v>
      </c>
      <c r="B48" s="8"/>
      <c r="C48" s="8" t="s">
        <v>620</v>
      </c>
      <c r="D48" s="8" t="s">
        <v>620</v>
      </c>
      <c r="E48" s="8" t="s">
        <v>621</v>
      </c>
      <c r="F48" s="8"/>
      <c r="G48" s="8"/>
      <c r="H48" s="8"/>
      <c r="I48" s="10"/>
      <c r="J48" s="9">
        <v>45537</v>
      </c>
      <c r="K48" s="10" t="s">
        <v>701</v>
      </c>
      <c r="L48" s="3"/>
      <c r="M48" s="3"/>
    </row>
    <row r="49" spans="1:13">
      <c r="A49" s="3"/>
      <c r="B49" s="9"/>
      <c r="C49" s="9">
        <v>27656</v>
      </c>
      <c r="D49" s="10">
        <v>2955</v>
      </c>
      <c r="E49" s="10">
        <v>3720</v>
      </c>
      <c r="F49" s="10"/>
      <c r="G49" s="10"/>
      <c r="H49" s="10"/>
      <c r="I49" s="10"/>
      <c r="J49" s="9"/>
      <c r="K49" s="11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11"/>
      <c r="L50" s="3"/>
      <c r="M50" s="3"/>
    </row>
    <row r="51" spans="1:13">
      <c r="A51" s="36" t="s">
        <v>35</v>
      </c>
      <c r="B51" s="37" t="s">
        <v>36</v>
      </c>
      <c r="C51" s="37"/>
      <c r="D51" s="37"/>
      <c r="E51" s="37"/>
      <c r="F51" s="37" t="s">
        <v>120</v>
      </c>
      <c r="G51" s="37"/>
      <c r="H51" s="37"/>
      <c r="I51" s="37"/>
      <c r="J51" s="38">
        <v>39520</v>
      </c>
      <c r="K51" s="37" t="s">
        <v>77</v>
      </c>
      <c r="L51" s="3"/>
      <c r="M51" s="3"/>
    </row>
    <row r="52" spans="1:13">
      <c r="A52" s="39"/>
      <c r="B52" s="40">
        <v>52521</v>
      </c>
      <c r="C52" s="38"/>
      <c r="D52" s="38"/>
      <c r="E52" s="38"/>
      <c r="F52" s="38">
        <v>1898</v>
      </c>
      <c r="G52" s="38"/>
      <c r="H52" s="38"/>
      <c r="I52" s="40"/>
      <c r="J52" s="38"/>
      <c r="K52" s="38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9"/>
      <c r="K53" s="11"/>
      <c r="L53" s="3"/>
      <c r="M53" s="3"/>
    </row>
    <row r="54" spans="1:13">
      <c r="A54" s="7" t="s">
        <v>38</v>
      </c>
      <c r="B54" s="8" t="s">
        <v>702</v>
      </c>
      <c r="C54" s="8" t="s">
        <v>703</v>
      </c>
      <c r="D54" s="8" t="s">
        <v>703</v>
      </c>
      <c r="E54" s="8"/>
      <c r="F54" s="8" t="s">
        <v>702</v>
      </c>
      <c r="G54" s="8" t="s">
        <v>817</v>
      </c>
      <c r="H54" s="8"/>
      <c r="I54" s="8"/>
      <c r="J54" s="9">
        <v>20144</v>
      </c>
      <c r="K54" s="8" t="s">
        <v>770</v>
      </c>
      <c r="L54" s="3"/>
      <c r="M54" s="3"/>
    </row>
    <row r="55" spans="1:13">
      <c r="A55" s="3"/>
      <c r="B55" s="10">
        <v>44837</v>
      </c>
      <c r="C55" s="9">
        <v>5347</v>
      </c>
      <c r="D55" s="10">
        <v>440</v>
      </c>
      <c r="E55" s="10"/>
      <c r="F55" s="10">
        <v>2266</v>
      </c>
      <c r="G55" s="10">
        <v>2688</v>
      </c>
      <c r="H55" s="10"/>
      <c r="I55" s="11"/>
      <c r="J55" s="9"/>
      <c r="K55" s="9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9"/>
      <c r="K56" s="11"/>
      <c r="L56" s="3"/>
      <c r="M56" s="3"/>
    </row>
    <row r="57" spans="1:13">
      <c r="A57" s="36" t="s">
        <v>41</v>
      </c>
      <c r="B57" s="37" t="s">
        <v>534</v>
      </c>
      <c r="C57" s="37"/>
      <c r="D57" s="37" t="s">
        <v>696</v>
      </c>
      <c r="E57" s="37"/>
      <c r="F57" s="37" t="s">
        <v>121</v>
      </c>
      <c r="G57" s="37"/>
      <c r="H57" s="37"/>
      <c r="I57" s="37"/>
      <c r="J57" s="38">
        <v>27052</v>
      </c>
      <c r="K57" s="37" t="s">
        <v>42</v>
      </c>
      <c r="L57" s="3"/>
      <c r="M57" s="3"/>
    </row>
    <row r="58" spans="1:13">
      <c r="A58" s="39"/>
      <c r="B58" s="40">
        <v>70230</v>
      </c>
      <c r="C58" s="40"/>
      <c r="D58" s="38">
        <v>1030</v>
      </c>
      <c r="E58" s="38"/>
      <c r="F58" s="38">
        <v>6196</v>
      </c>
      <c r="G58" s="38"/>
      <c r="H58" s="38"/>
      <c r="I58" s="40"/>
      <c r="J58" s="40"/>
      <c r="K58" s="38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9"/>
      <c r="K59" s="9"/>
      <c r="L59" s="3"/>
      <c r="M59" s="3"/>
    </row>
    <row r="60" spans="1:13">
      <c r="A60" s="3" t="s">
        <v>45</v>
      </c>
      <c r="B60" s="10" t="s">
        <v>385</v>
      </c>
      <c r="C60" s="10" t="s">
        <v>771</v>
      </c>
      <c r="D60" s="10" t="s">
        <v>482</v>
      </c>
      <c r="E60" s="10"/>
      <c r="F60" s="10" t="s">
        <v>471</v>
      </c>
      <c r="G60" s="10"/>
      <c r="H60" s="10"/>
      <c r="I60" s="10"/>
      <c r="J60" s="9">
        <v>23424</v>
      </c>
      <c r="K60" s="8" t="s">
        <v>388</v>
      </c>
      <c r="L60" s="3"/>
      <c r="M60" s="3"/>
    </row>
    <row r="61" spans="1:13">
      <c r="A61" s="7"/>
      <c r="B61" s="10">
        <v>58650</v>
      </c>
      <c r="C61" s="9">
        <v>4018</v>
      </c>
      <c r="D61" s="10">
        <v>475</v>
      </c>
      <c r="E61" s="10"/>
      <c r="F61" s="10">
        <v>1522</v>
      </c>
      <c r="G61" s="10"/>
      <c r="H61" s="10"/>
      <c r="I61" s="11"/>
      <c r="J61" s="9"/>
      <c r="K61" s="11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9"/>
      <c r="J62" s="9"/>
      <c r="K62" s="9"/>
      <c r="L62" s="3"/>
      <c r="M62" s="3"/>
    </row>
    <row r="63" spans="1:13">
      <c r="A63" s="39" t="s">
        <v>47</v>
      </c>
      <c r="B63" s="40" t="s">
        <v>492</v>
      </c>
      <c r="C63" s="40"/>
      <c r="D63" s="40" t="s">
        <v>772</v>
      </c>
      <c r="E63" s="40"/>
      <c r="F63" s="40" t="s">
        <v>492</v>
      </c>
      <c r="G63" s="40"/>
      <c r="H63" s="40"/>
      <c r="I63" s="40"/>
      <c r="J63" s="38">
        <v>26853</v>
      </c>
      <c r="K63" s="37" t="s">
        <v>773</v>
      </c>
      <c r="L63" s="3"/>
      <c r="M63" s="3"/>
    </row>
    <row r="64" spans="1:13">
      <c r="A64" s="36"/>
      <c r="B64" s="40">
        <v>62544</v>
      </c>
      <c r="C64" s="40"/>
      <c r="D64" s="40">
        <v>1701</v>
      </c>
      <c r="E64" s="40"/>
      <c r="F64" s="40">
        <v>5307</v>
      </c>
      <c r="G64" s="40"/>
      <c r="H64" s="40"/>
      <c r="I64" s="40"/>
      <c r="J64" s="38"/>
      <c r="K64" s="41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11"/>
      <c r="J65" s="9"/>
      <c r="K65" s="9"/>
      <c r="L65" s="3"/>
      <c r="M65" s="3"/>
    </row>
    <row r="66" spans="1:13">
      <c r="A66" s="3" t="s">
        <v>49</v>
      </c>
      <c r="B66" s="10" t="s">
        <v>83</v>
      </c>
      <c r="C66" s="10" t="s">
        <v>707</v>
      </c>
      <c r="D66" s="10" t="s">
        <v>707</v>
      </c>
      <c r="E66" s="10" t="s">
        <v>707</v>
      </c>
      <c r="F66" s="10" t="s">
        <v>83</v>
      </c>
      <c r="G66" s="10"/>
      <c r="H66" s="10"/>
      <c r="I66" s="10"/>
      <c r="J66" s="9">
        <v>22101</v>
      </c>
      <c r="K66" s="8" t="s">
        <v>84</v>
      </c>
      <c r="L66" s="3"/>
      <c r="M66" s="3"/>
    </row>
    <row r="67" spans="1:13">
      <c r="A67" s="7"/>
      <c r="B67" s="10">
        <v>51131</v>
      </c>
      <c r="C67" s="10">
        <v>5803</v>
      </c>
      <c r="D67" s="10">
        <v>557</v>
      </c>
      <c r="E67" s="10">
        <v>392</v>
      </c>
      <c r="F67" s="10">
        <v>1926</v>
      </c>
      <c r="G67" s="10"/>
      <c r="H67" s="10"/>
      <c r="I67" s="10"/>
      <c r="J67" s="9"/>
      <c r="K67" s="11"/>
      <c r="L67" s="3"/>
      <c r="M67" s="3"/>
    </row>
    <row r="68" spans="1:13">
      <c r="A68" s="7"/>
      <c r="B68" s="3"/>
      <c r="C68" s="3"/>
      <c r="D68" s="3"/>
      <c r="E68" s="3"/>
      <c r="F68" s="3"/>
      <c r="G68" s="3"/>
      <c r="H68" s="3"/>
      <c r="I68" s="3"/>
      <c r="J68" s="3"/>
      <c r="K68" s="11"/>
      <c r="L68" s="3"/>
      <c r="M68" s="3"/>
    </row>
    <row r="69" spans="1:13">
      <c r="A69" s="39" t="s">
        <v>52</v>
      </c>
      <c r="B69" s="37"/>
      <c r="C69" s="37" t="s">
        <v>85</v>
      </c>
      <c r="D69" s="37" t="s">
        <v>85</v>
      </c>
      <c r="E69" s="37" t="s">
        <v>85</v>
      </c>
      <c r="F69" s="37"/>
      <c r="G69" s="37"/>
      <c r="H69" s="37"/>
      <c r="I69" s="37"/>
      <c r="J69" s="38">
        <v>39189</v>
      </c>
      <c r="K69" s="40" t="s">
        <v>313</v>
      </c>
      <c r="L69" s="3"/>
      <c r="M69" s="3"/>
    </row>
    <row r="70" spans="1:13">
      <c r="A70" s="39"/>
      <c r="B70" s="40"/>
      <c r="C70" s="40">
        <v>37322</v>
      </c>
      <c r="D70" s="40">
        <v>3368</v>
      </c>
      <c r="E70" s="40">
        <v>4039</v>
      </c>
      <c r="F70" s="40"/>
      <c r="G70" s="40"/>
      <c r="H70" s="40"/>
      <c r="I70" s="38"/>
      <c r="J70" s="38"/>
      <c r="K70" s="41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9"/>
      <c r="K71" s="11"/>
      <c r="L71" s="3"/>
      <c r="M71" s="3"/>
    </row>
    <row r="72" spans="1:13">
      <c r="A72" s="7" t="s">
        <v>54</v>
      </c>
      <c r="B72" s="8" t="s">
        <v>93</v>
      </c>
      <c r="C72" s="8" t="s">
        <v>774</v>
      </c>
      <c r="D72" s="8" t="s">
        <v>774</v>
      </c>
      <c r="E72" s="8" t="s">
        <v>774</v>
      </c>
      <c r="F72" s="8" t="s">
        <v>93</v>
      </c>
      <c r="G72" s="8"/>
      <c r="H72" s="8"/>
      <c r="I72" s="10" t="s">
        <v>775</v>
      </c>
      <c r="J72" s="9">
        <v>12473</v>
      </c>
      <c r="K72" s="8" t="s">
        <v>94</v>
      </c>
      <c r="L72" s="3"/>
      <c r="M72" s="3"/>
    </row>
    <row r="73" spans="1:13">
      <c r="A73" s="3"/>
      <c r="B73" s="10">
        <v>38045</v>
      </c>
      <c r="C73" s="10">
        <v>18633</v>
      </c>
      <c r="D73" s="10">
        <v>1523</v>
      </c>
      <c r="E73" s="10">
        <v>2220</v>
      </c>
      <c r="F73" s="10">
        <v>1788</v>
      </c>
      <c r="G73" s="10"/>
      <c r="H73" s="10"/>
      <c r="I73" s="10">
        <v>985</v>
      </c>
      <c r="J73" s="9"/>
      <c r="K73" s="9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9"/>
      <c r="K74" s="11"/>
      <c r="L74" s="3"/>
      <c r="M74" s="3"/>
    </row>
    <row r="75" spans="1:13">
      <c r="A75" s="36" t="s">
        <v>56</v>
      </c>
      <c r="B75" s="37" t="s">
        <v>776</v>
      </c>
      <c r="C75" s="37" t="s">
        <v>777</v>
      </c>
      <c r="D75" s="37" t="s">
        <v>776</v>
      </c>
      <c r="E75" s="37" t="s">
        <v>776</v>
      </c>
      <c r="F75" s="37"/>
      <c r="G75" s="37"/>
      <c r="H75" s="37"/>
      <c r="I75" s="37"/>
      <c r="J75" s="38">
        <v>22473</v>
      </c>
      <c r="K75" s="37" t="s">
        <v>778</v>
      </c>
      <c r="L75" s="3"/>
      <c r="M75" s="3"/>
    </row>
    <row r="76" spans="1:13">
      <c r="A76" s="39"/>
      <c r="B76" s="40">
        <v>34579</v>
      </c>
      <c r="C76" s="40">
        <v>57844</v>
      </c>
      <c r="D76" s="40">
        <v>5075</v>
      </c>
      <c r="E76" s="40">
        <v>1508</v>
      </c>
      <c r="F76" s="40"/>
      <c r="G76" s="40"/>
      <c r="H76" s="40"/>
      <c r="I76" s="38"/>
      <c r="J76" s="38"/>
      <c r="K76" s="38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7" t="s">
        <v>58</v>
      </c>
      <c r="B78" s="8" t="s">
        <v>710</v>
      </c>
      <c r="C78" s="8"/>
      <c r="D78" s="8"/>
      <c r="E78" s="8"/>
      <c r="F78" s="8" t="s">
        <v>818</v>
      </c>
      <c r="G78" s="8"/>
      <c r="H78" s="8"/>
      <c r="I78" s="8"/>
      <c r="J78" s="9">
        <v>40617</v>
      </c>
      <c r="K78" s="8" t="s">
        <v>711</v>
      </c>
      <c r="L78" s="3"/>
      <c r="M78" s="3"/>
    </row>
    <row r="79" spans="1:13">
      <c r="A79" s="3"/>
      <c r="B79" s="10">
        <v>67095</v>
      </c>
      <c r="C79" s="10"/>
      <c r="D79" s="10"/>
      <c r="E79" s="10"/>
      <c r="F79" s="10">
        <v>5395</v>
      </c>
      <c r="G79" s="10"/>
      <c r="H79" s="10"/>
      <c r="I79" s="9"/>
      <c r="J79" s="9"/>
      <c r="K79" s="9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6" t="s">
        <v>59</v>
      </c>
      <c r="B81" s="37" t="s">
        <v>78</v>
      </c>
      <c r="C81" s="37" t="s">
        <v>779</v>
      </c>
      <c r="D81" s="37"/>
      <c r="E81" s="37"/>
      <c r="F81" s="37" t="s">
        <v>78</v>
      </c>
      <c r="G81" s="37"/>
      <c r="H81" s="37"/>
      <c r="I81" s="37"/>
      <c r="J81" s="38">
        <v>23268</v>
      </c>
      <c r="K81" s="37" t="s">
        <v>79</v>
      </c>
      <c r="L81" s="3"/>
      <c r="M81" s="3"/>
    </row>
    <row r="82" spans="1:13">
      <c r="A82" s="39"/>
      <c r="B82" s="40">
        <v>94024</v>
      </c>
      <c r="C82" s="40">
        <v>32244</v>
      </c>
      <c r="D82" s="38"/>
      <c r="E82" s="43"/>
      <c r="F82" s="43">
        <v>2468</v>
      </c>
      <c r="G82" s="43"/>
      <c r="H82" s="43"/>
      <c r="I82" s="43"/>
      <c r="J82" s="43"/>
      <c r="K82" s="43"/>
      <c r="L82" s="3"/>
      <c r="M82" s="3"/>
    </row>
    <row r="83" spans="1:13">
      <c r="A83" s="3"/>
      <c r="B83" s="10"/>
      <c r="C83" s="10"/>
      <c r="D83" s="9"/>
      <c r="E83" s="23"/>
      <c r="F83" s="23"/>
      <c r="G83" s="23"/>
      <c r="H83" s="23"/>
      <c r="I83" s="23"/>
      <c r="J83" s="23"/>
      <c r="K83" s="23"/>
      <c r="L83" s="3"/>
      <c r="M83" s="3"/>
    </row>
    <row r="84" spans="1:13">
      <c r="A84" s="7" t="s">
        <v>63</v>
      </c>
      <c r="B84" s="8" t="s">
        <v>543</v>
      </c>
      <c r="C84" s="8" t="s">
        <v>543</v>
      </c>
      <c r="D84" s="8" t="s">
        <v>484</v>
      </c>
      <c r="E84" s="8"/>
      <c r="F84" s="8"/>
      <c r="G84" s="8"/>
      <c r="H84" s="8"/>
      <c r="I84" s="8"/>
      <c r="J84" s="9">
        <v>21905</v>
      </c>
      <c r="K84" s="8" t="s">
        <v>545</v>
      </c>
      <c r="L84" s="3"/>
      <c r="M84" s="3"/>
    </row>
    <row r="85" spans="1:13">
      <c r="A85" s="3"/>
      <c r="B85" s="10">
        <v>39442</v>
      </c>
      <c r="C85" s="9">
        <v>21214</v>
      </c>
      <c r="D85" s="9">
        <v>2038</v>
      </c>
      <c r="E85" s="9"/>
      <c r="F85" s="9"/>
      <c r="G85" s="9"/>
      <c r="H85" s="9"/>
      <c r="I85" s="11"/>
      <c r="J85" s="9"/>
      <c r="K85" s="9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9"/>
      <c r="K86" s="11"/>
      <c r="L86" s="3"/>
      <c r="M86" s="3"/>
    </row>
    <row r="87" spans="1:13">
      <c r="A87" s="36" t="s">
        <v>65</v>
      </c>
      <c r="B87" s="37" t="s">
        <v>95</v>
      </c>
      <c r="C87" s="37" t="s">
        <v>780</v>
      </c>
      <c r="D87" s="37" t="s">
        <v>781</v>
      </c>
      <c r="E87" s="37" t="s">
        <v>780</v>
      </c>
      <c r="F87" s="37" t="s">
        <v>95</v>
      </c>
      <c r="G87" s="37"/>
      <c r="H87" s="37"/>
      <c r="I87" s="40"/>
      <c r="J87" s="38">
        <v>17039</v>
      </c>
      <c r="K87" s="37" t="s">
        <v>715</v>
      </c>
      <c r="L87" s="3"/>
      <c r="M87" s="3"/>
    </row>
    <row r="88" spans="1:13">
      <c r="A88" s="39"/>
      <c r="B88" s="40">
        <v>53439</v>
      </c>
      <c r="C88" s="38">
        <v>7117</v>
      </c>
      <c r="D88" s="40">
        <v>339</v>
      </c>
      <c r="E88" s="40">
        <v>4562</v>
      </c>
      <c r="F88" s="40">
        <v>1881</v>
      </c>
      <c r="G88" s="40"/>
      <c r="H88" s="40"/>
      <c r="I88" s="40"/>
      <c r="J88" s="38"/>
      <c r="K88" s="38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9"/>
      <c r="K89" s="11"/>
      <c r="L89" s="3"/>
      <c r="M89" s="3"/>
    </row>
    <row r="90" spans="1:13">
      <c r="A90" s="3" t="s">
        <v>67</v>
      </c>
      <c r="B90" s="10" t="s">
        <v>547</v>
      </c>
      <c r="C90" s="10" t="s">
        <v>782</v>
      </c>
      <c r="D90" s="10"/>
      <c r="E90" s="10" t="s">
        <v>783</v>
      </c>
      <c r="F90" s="10" t="s">
        <v>547</v>
      </c>
      <c r="G90" s="10"/>
      <c r="H90" s="10"/>
      <c r="I90" s="10"/>
      <c r="J90" s="9">
        <v>28152</v>
      </c>
      <c r="K90" s="8" t="s">
        <v>549</v>
      </c>
      <c r="L90" s="3"/>
      <c r="M90" s="3"/>
    </row>
    <row r="91" spans="1:13">
      <c r="A91" s="3"/>
      <c r="B91" s="10">
        <v>106442</v>
      </c>
      <c r="C91" s="9">
        <v>19858</v>
      </c>
      <c r="D91" s="9"/>
      <c r="E91" s="9">
        <v>1995</v>
      </c>
      <c r="F91" s="9">
        <v>5691</v>
      </c>
      <c r="G91" s="9"/>
      <c r="H91" s="9"/>
      <c r="I91" s="9"/>
      <c r="J91" s="9"/>
      <c r="K91" s="9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9"/>
      <c r="K92" s="9"/>
      <c r="L92" s="3"/>
      <c r="M92" s="3"/>
    </row>
    <row r="93" spans="1:13">
      <c r="A93" s="39" t="s">
        <v>68</v>
      </c>
      <c r="B93" s="40" t="s">
        <v>784</v>
      </c>
      <c r="C93" s="40" t="s">
        <v>716</v>
      </c>
      <c r="D93" s="40"/>
      <c r="E93" s="40" t="s">
        <v>716</v>
      </c>
      <c r="F93" s="40" t="s">
        <v>784</v>
      </c>
      <c r="G93" s="40"/>
      <c r="H93" s="40"/>
      <c r="I93" s="40"/>
      <c r="J93" s="38">
        <v>24999</v>
      </c>
      <c r="K93" s="40" t="s">
        <v>785</v>
      </c>
      <c r="L93" s="3"/>
      <c r="M93" s="3"/>
    </row>
    <row r="94" spans="1:13">
      <c r="A94" s="39"/>
      <c r="B94" s="40">
        <v>79494</v>
      </c>
      <c r="C94" s="38">
        <v>4781</v>
      </c>
      <c r="D94" s="40"/>
      <c r="E94" s="40">
        <v>1164</v>
      </c>
      <c r="F94" s="40">
        <v>3733</v>
      </c>
      <c r="G94" s="40"/>
      <c r="H94" s="40"/>
      <c r="I94" s="38"/>
      <c r="J94" s="38"/>
      <c r="K94" s="38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11"/>
      <c r="J95" s="9"/>
      <c r="K95" s="9"/>
      <c r="L95" s="3"/>
      <c r="M95" s="3"/>
    </row>
    <row r="96" spans="1:13">
      <c r="A96" s="3" t="s">
        <v>69</v>
      </c>
      <c r="B96" s="10" t="s">
        <v>634</v>
      </c>
      <c r="C96" s="10" t="s">
        <v>786</v>
      </c>
      <c r="D96" s="10"/>
      <c r="E96" s="10"/>
      <c r="F96" s="10" t="s">
        <v>634</v>
      </c>
      <c r="G96" s="10"/>
      <c r="H96" s="10"/>
      <c r="I96" s="10"/>
      <c r="J96" s="9">
        <v>23789</v>
      </c>
      <c r="K96" s="10" t="s">
        <v>636</v>
      </c>
      <c r="L96" s="3"/>
      <c r="M96" s="3"/>
    </row>
    <row r="97" spans="1:13">
      <c r="A97" s="3"/>
      <c r="B97" s="10">
        <v>72410</v>
      </c>
      <c r="C97" s="10">
        <v>9272</v>
      </c>
      <c r="D97" s="10"/>
      <c r="E97" s="10"/>
      <c r="F97" s="10">
        <v>3955</v>
      </c>
      <c r="G97" s="10"/>
      <c r="H97" s="10"/>
      <c r="I97" s="9"/>
      <c r="J97" s="9"/>
      <c r="K97" s="9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9"/>
      <c r="J98" s="9"/>
      <c r="K98" s="9"/>
      <c r="L98" s="3"/>
      <c r="M98" s="3"/>
    </row>
    <row r="99" spans="1:13">
      <c r="A99" s="39" t="s">
        <v>70</v>
      </c>
      <c r="B99" s="40" t="s">
        <v>481</v>
      </c>
      <c r="C99" s="40"/>
      <c r="D99" s="40" t="s">
        <v>484</v>
      </c>
      <c r="E99" s="40"/>
      <c r="F99" s="40"/>
      <c r="G99" s="40"/>
      <c r="H99" s="40"/>
      <c r="I99" s="40"/>
      <c r="J99" s="38">
        <v>25071</v>
      </c>
      <c r="K99" s="40" t="s">
        <v>553</v>
      </c>
      <c r="L99" s="3"/>
      <c r="M99" s="3"/>
    </row>
    <row r="100" spans="1:13">
      <c r="A100" s="39"/>
      <c r="B100" s="40">
        <v>57267</v>
      </c>
      <c r="C100" s="40"/>
      <c r="D100" s="40">
        <v>1148</v>
      </c>
      <c r="E100" s="40"/>
      <c r="F100" s="40"/>
      <c r="G100" s="40"/>
      <c r="H100" s="40"/>
      <c r="I100" s="38"/>
      <c r="J100" s="38"/>
      <c r="K100" s="38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9"/>
      <c r="K101" s="9"/>
      <c r="L101" s="3"/>
      <c r="M101" s="3"/>
    </row>
    <row r="102" spans="1:13">
      <c r="A102" s="3" t="s">
        <v>71</v>
      </c>
      <c r="B102" s="10" t="s">
        <v>718</v>
      </c>
      <c r="C102" s="10" t="s">
        <v>787</v>
      </c>
      <c r="D102" s="10" t="s">
        <v>787</v>
      </c>
      <c r="E102" s="10"/>
      <c r="F102" s="10"/>
      <c r="G102" s="10"/>
      <c r="H102" s="10"/>
      <c r="I102" s="10"/>
      <c r="J102" s="9">
        <v>17403</v>
      </c>
      <c r="K102" s="10" t="s">
        <v>720</v>
      </c>
      <c r="L102" s="3"/>
      <c r="M102" s="3"/>
    </row>
    <row r="103" spans="1:13">
      <c r="A103" s="3"/>
      <c r="B103" s="10">
        <v>45808</v>
      </c>
      <c r="C103" s="10">
        <v>4444</v>
      </c>
      <c r="D103" s="10">
        <v>586</v>
      </c>
      <c r="E103" s="10"/>
      <c r="F103" s="10"/>
      <c r="G103" s="10"/>
      <c r="H103" s="10"/>
      <c r="I103" s="9"/>
      <c r="J103" s="9"/>
      <c r="K103" s="9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41" t="s">
        <v>5</v>
      </c>
      <c r="B105" s="37" t="s">
        <v>96</v>
      </c>
      <c r="C105" s="37" t="s">
        <v>445</v>
      </c>
      <c r="D105" s="37" t="s">
        <v>788</v>
      </c>
      <c r="E105" s="37" t="s">
        <v>788</v>
      </c>
      <c r="F105" s="37"/>
      <c r="G105" s="37"/>
      <c r="H105" s="37"/>
      <c r="I105" s="37"/>
      <c r="J105" s="38">
        <v>13296</v>
      </c>
      <c r="K105" s="37" t="s">
        <v>329</v>
      </c>
      <c r="L105" s="3"/>
      <c r="M105" s="3"/>
    </row>
    <row r="106" spans="1:13">
      <c r="A106" s="38"/>
      <c r="B106" s="38">
        <v>43276</v>
      </c>
      <c r="C106" s="40">
        <v>31522</v>
      </c>
      <c r="D106" s="40">
        <v>3875</v>
      </c>
      <c r="E106" s="40">
        <v>5848</v>
      </c>
      <c r="F106" s="40"/>
      <c r="G106" s="40"/>
      <c r="H106" s="40"/>
      <c r="I106" s="40"/>
      <c r="J106" s="38"/>
      <c r="K106" s="41"/>
      <c r="L106" s="3"/>
      <c r="M106" s="3"/>
    </row>
    <row r="107" spans="1:13">
      <c r="A107" s="9"/>
      <c r="B107" s="3"/>
      <c r="C107" s="3"/>
      <c r="D107" s="3"/>
      <c r="E107" s="3"/>
      <c r="F107" s="3"/>
      <c r="G107" s="3"/>
      <c r="H107" s="3"/>
      <c r="I107" s="3"/>
      <c r="J107" s="9"/>
      <c r="K107" s="9"/>
      <c r="L107" s="3"/>
      <c r="M107" s="3"/>
    </row>
    <row r="108" spans="1:13">
      <c r="A108" s="11" t="s">
        <v>104</v>
      </c>
      <c r="B108" s="8" t="s">
        <v>97</v>
      </c>
      <c r="C108" s="8" t="s">
        <v>641</v>
      </c>
      <c r="D108" s="8" t="s">
        <v>641</v>
      </c>
      <c r="E108" s="8" t="s">
        <v>641</v>
      </c>
      <c r="F108" s="8" t="s">
        <v>97</v>
      </c>
      <c r="G108" s="8"/>
      <c r="H108" s="8"/>
      <c r="I108" s="8"/>
      <c r="J108" s="17">
        <f>15949+9</f>
        <v>15958</v>
      </c>
      <c r="K108" s="8" t="s">
        <v>105</v>
      </c>
      <c r="L108" s="3"/>
      <c r="M108" s="3"/>
    </row>
    <row r="109" spans="1:13">
      <c r="A109" s="9"/>
      <c r="B109" s="17">
        <v>67648</v>
      </c>
      <c r="C109" s="14">
        <v>36739</v>
      </c>
      <c r="D109" s="14">
        <v>3578</v>
      </c>
      <c r="E109" s="14">
        <v>3623</v>
      </c>
      <c r="F109" s="14">
        <v>3163</v>
      </c>
      <c r="G109" s="14"/>
      <c r="H109" s="14"/>
      <c r="I109" s="14"/>
      <c r="J109" s="9"/>
      <c r="K109" s="11"/>
      <c r="L109" s="3"/>
      <c r="M109" s="3"/>
    </row>
    <row r="110" spans="1:13">
      <c r="A110" s="9"/>
      <c r="B110" s="3"/>
      <c r="C110" s="3"/>
      <c r="D110" s="3"/>
      <c r="E110" s="3"/>
      <c r="F110" s="3"/>
      <c r="G110" s="3"/>
      <c r="H110" s="3"/>
      <c r="I110" s="3"/>
      <c r="J110" s="9"/>
      <c r="K110" s="9"/>
      <c r="L110" s="3"/>
      <c r="M110" s="3"/>
    </row>
    <row r="111" spans="1:13">
      <c r="A111" s="41" t="s">
        <v>8</v>
      </c>
      <c r="B111" s="37" t="s">
        <v>723</v>
      </c>
      <c r="C111" s="37"/>
      <c r="D111" s="37" t="s">
        <v>789</v>
      </c>
      <c r="E111" s="37" t="s">
        <v>723</v>
      </c>
      <c r="F111" s="37" t="s">
        <v>723</v>
      </c>
      <c r="G111" s="37"/>
      <c r="H111" s="37"/>
      <c r="I111" s="37"/>
      <c r="J111" s="38">
        <v>24809</v>
      </c>
      <c r="K111" s="37" t="s">
        <v>724</v>
      </c>
      <c r="L111" s="3"/>
      <c r="M111" s="3"/>
    </row>
    <row r="112" spans="1:13">
      <c r="A112" s="38"/>
      <c r="B112" s="38">
        <v>64592</v>
      </c>
      <c r="C112" s="38"/>
      <c r="D112" s="38">
        <v>536</v>
      </c>
      <c r="E112" s="38">
        <v>971</v>
      </c>
      <c r="F112" s="38">
        <v>1715</v>
      </c>
      <c r="G112" s="38"/>
      <c r="H112" s="38"/>
      <c r="I112" s="38"/>
      <c r="J112" s="38"/>
      <c r="K112" s="41"/>
      <c r="L112" s="3"/>
      <c r="M112" s="3"/>
    </row>
    <row r="113" spans="1:13">
      <c r="A113" s="9"/>
      <c r="B113" s="3"/>
      <c r="C113" s="3"/>
      <c r="D113" s="3"/>
      <c r="E113" s="3"/>
      <c r="F113" s="3"/>
      <c r="G113" s="3"/>
      <c r="H113" s="3"/>
      <c r="I113" s="3"/>
      <c r="J113" s="3"/>
      <c r="K113" s="9"/>
      <c r="L113" s="3"/>
      <c r="M113" s="3"/>
    </row>
    <row r="114" spans="1:13">
      <c r="A114" s="11" t="s">
        <v>10</v>
      </c>
      <c r="B114" s="8" t="s">
        <v>556</v>
      </c>
      <c r="C114" s="8" t="s">
        <v>790</v>
      </c>
      <c r="D114" s="8"/>
      <c r="E114" s="8" t="s">
        <v>790</v>
      </c>
      <c r="F114" s="8" t="s">
        <v>556</v>
      </c>
      <c r="G114" s="8"/>
      <c r="H114" s="8"/>
      <c r="I114" s="8"/>
      <c r="J114" s="9">
        <v>21536</v>
      </c>
      <c r="K114" s="8" t="s">
        <v>557</v>
      </c>
      <c r="L114" s="3"/>
      <c r="M114" s="3"/>
    </row>
    <row r="115" spans="1:13">
      <c r="A115" s="9"/>
      <c r="B115" s="10">
        <v>78960</v>
      </c>
      <c r="C115" s="9">
        <v>32990</v>
      </c>
      <c r="D115" s="9"/>
      <c r="E115" s="9">
        <v>1777</v>
      </c>
      <c r="F115" s="9">
        <v>2229</v>
      </c>
      <c r="G115" s="9"/>
      <c r="H115" s="9"/>
      <c r="I115" s="9"/>
      <c r="J115" s="9"/>
      <c r="K115" s="11"/>
      <c r="L115" s="3"/>
      <c r="M115" s="3"/>
    </row>
    <row r="116" spans="1:1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3"/>
      <c r="M116" s="3"/>
    </row>
    <row r="117" spans="1:13">
      <c r="A117" s="41" t="s">
        <v>14</v>
      </c>
      <c r="B117" s="37"/>
      <c r="C117" s="37" t="s">
        <v>644</v>
      </c>
      <c r="D117" s="37" t="s">
        <v>644</v>
      </c>
      <c r="E117" s="37" t="s">
        <v>644</v>
      </c>
      <c r="F117" s="37" t="s">
        <v>644</v>
      </c>
      <c r="G117" s="37"/>
      <c r="H117" s="37" t="s">
        <v>823</v>
      </c>
      <c r="I117" s="37"/>
      <c r="J117" s="38">
        <v>69780</v>
      </c>
      <c r="K117" s="37" t="s">
        <v>645</v>
      </c>
      <c r="L117" s="3"/>
      <c r="M117" s="3"/>
    </row>
    <row r="118" spans="1:13">
      <c r="A118" s="38"/>
      <c r="B118" s="38"/>
      <c r="C118" s="38">
        <v>64789</v>
      </c>
      <c r="D118" s="38">
        <v>4985</v>
      </c>
      <c r="E118" s="38">
        <v>6553</v>
      </c>
      <c r="F118" s="38">
        <v>3448</v>
      </c>
      <c r="G118" s="38"/>
      <c r="H118" s="38">
        <v>1305</v>
      </c>
      <c r="I118" s="38"/>
      <c r="J118" s="38"/>
      <c r="K118" s="41"/>
      <c r="L118" s="3"/>
      <c r="M118" s="3"/>
    </row>
    <row r="119" spans="1:13">
      <c r="A119" s="9"/>
      <c r="B119" s="3"/>
      <c r="C119" s="3"/>
      <c r="D119" s="3"/>
      <c r="E119" s="3"/>
      <c r="F119" s="3"/>
      <c r="G119" s="3"/>
      <c r="H119" s="3"/>
      <c r="I119" s="9"/>
      <c r="J119" s="9"/>
      <c r="K119" s="9"/>
      <c r="L119" s="3"/>
      <c r="M119" s="3"/>
    </row>
    <row r="120" spans="1:13">
      <c r="A120" s="11" t="s">
        <v>17</v>
      </c>
      <c r="B120" s="8"/>
      <c r="C120" s="8" t="s">
        <v>335</v>
      </c>
      <c r="D120" s="8" t="s">
        <v>335</v>
      </c>
      <c r="E120" s="8"/>
      <c r="F120" s="8"/>
      <c r="G120" s="8"/>
      <c r="H120" s="8"/>
      <c r="I120" s="8"/>
      <c r="J120" s="9">
        <v>57941</v>
      </c>
      <c r="K120" s="8" t="s">
        <v>337</v>
      </c>
      <c r="L120" s="3"/>
      <c r="M120" s="3"/>
    </row>
    <row r="121" spans="1:13">
      <c r="A121" s="9"/>
      <c r="B121" s="9"/>
      <c r="C121" s="9">
        <v>67451</v>
      </c>
      <c r="D121" s="9">
        <v>7116</v>
      </c>
      <c r="E121" s="9"/>
      <c r="F121" s="9"/>
      <c r="G121" s="9"/>
      <c r="H121" s="9"/>
      <c r="I121" s="11"/>
      <c r="J121" s="9"/>
      <c r="K121" s="11"/>
      <c r="L121" s="3"/>
      <c r="M121" s="3"/>
    </row>
    <row r="122" spans="1:13">
      <c r="A122" s="9"/>
      <c r="B122" s="3"/>
      <c r="C122" s="3"/>
      <c r="D122" s="3"/>
      <c r="E122" s="3"/>
      <c r="F122" s="3"/>
      <c r="G122" s="3"/>
      <c r="H122" s="3"/>
      <c r="I122" s="9"/>
      <c r="J122" s="9"/>
      <c r="K122" s="9"/>
      <c r="L122" s="3"/>
      <c r="M122" s="3"/>
    </row>
    <row r="123" spans="1:13">
      <c r="A123" s="41" t="s">
        <v>19</v>
      </c>
      <c r="B123" s="37" t="s">
        <v>791</v>
      </c>
      <c r="C123" s="37" t="s">
        <v>647</v>
      </c>
      <c r="D123" s="37" t="s">
        <v>647</v>
      </c>
      <c r="E123" s="37" t="s">
        <v>647</v>
      </c>
      <c r="F123" s="37" t="s">
        <v>791</v>
      </c>
      <c r="G123" s="37"/>
      <c r="H123" s="37"/>
      <c r="I123" s="37"/>
      <c r="J123" s="40">
        <v>18784</v>
      </c>
      <c r="K123" s="37" t="s">
        <v>648</v>
      </c>
      <c r="L123" s="3"/>
      <c r="M123" s="3"/>
    </row>
    <row r="124" spans="1:13">
      <c r="A124" s="38"/>
      <c r="B124" s="38">
        <v>45352</v>
      </c>
      <c r="C124" s="38">
        <v>68394</v>
      </c>
      <c r="D124" s="38">
        <v>5501</v>
      </c>
      <c r="E124" s="38">
        <v>5445</v>
      </c>
      <c r="F124" s="38">
        <v>1989</v>
      </c>
      <c r="G124" s="38"/>
      <c r="H124" s="38"/>
      <c r="I124" s="41"/>
      <c r="J124" s="38"/>
      <c r="K124" s="41"/>
      <c r="L124" s="3"/>
      <c r="M124" s="3"/>
    </row>
    <row r="125" spans="1:13">
      <c r="A125" s="9"/>
      <c r="B125" s="3"/>
      <c r="C125" s="3"/>
      <c r="D125" s="3"/>
      <c r="E125" s="3"/>
      <c r="F125" s="3"/>
      <c r="G125" s="3"/>
      <c r="H125" s="3"/>
      <c r="I125" s="9"/>
      <c r="J125" s="9"/>
      <c r="K125" s="9"/>
      <c r="L125" s="3"/>
      <c r="M125" s="3"/>
    </row>
    <row r="126" spans="1:13">
      <c r="A126" s="11" t="s">
        <v>20</v>
      </c>
      <c r="B126" s="8" t="s">
        <v>792</v>
      </c>
      <c r="C126" s="8" t="s">
        <v>489</v>
      </c>
      <c r="D126" s="8" t="s">
        <v>489</v>
      </c>
      <c r="E126" s="8"/>
      <c r="F126" s="8"/>
      <c r="G126" s="8"/>
      <c r="H126" s="8"/>
      <c r="I126" s="8"/>
      <c r="J126" s="10">
        <v>20966</v>
      </c>
      <c r="K126" s="8" t="s">
        <v>563</v>
      </c>
      <c r="L126" s="3"/>
      <c r="M126" s="3"/>
    </row>
    <row r="127" spans="1:13">
      <c r="A127" s="9"/>
      <c r="B127" s="9">
        <v>40836</v>
      </c>
      <c r="C127" s="9">
        <v>69834</v>
      </c>
      <c r="D127" s="9">
        <v>6665</v>
      </c>
      <c r="E127" s="9"/>
      <c r="F127" s="9"/>
      <c r="G127" s="9"/>
      <c r="H127" s="9"/>
      <c r="I127" s="9"/>
      <c r="J127" s="9"/>
      <c r="K127" s="11"/>
      <c r="L127" s="3"/>
      <c r="M127" s="3"/>
    </row>
    <row r="128" spans="1:13">
      <c r="A128" s="9"/>
      <c r="B128" s="3"/>
      <c r="C128" s="3"/>
      <c r="D128" s="3"/>
      <c r="E128" s="3"/>
      <c r="F128" s="3"/>
      <c r="G128" s="3"/>
      <c r="H128" s="3"/>
      <c r="I128" s="3"/>
      <c r="J128" s="9"/>
      <c r="K128" s="9"/>
      <c r="L128" s="3"/>
      <c r="M128" s="3"/>
    </row>
    <row r="129" spans="1:13">
      <c r="A129" s="41" t="s">
        <v>22</v>
      </c>
      <c r="B129" s="37"/>
      <c r="C129" s="37" t="s">
        <v>342</v>
      </c>
      <c r="D129" s="37" t="s">
        <v>342</v>
      </c>
      <c r="E129" s="37" t="s">
        <v>342</v>
      </c>
      <c r="F129" s="37" t="s">
        <v>824</v>
      </c>
      <c r="G129" s="37"/>
      <c r="H129" s="37"/>
      <c r="I129" s="37"/>
      <c r="J129" s="40">
        <v>57343</v>
      </c>
      <c r="K129" s="37" t="s">
        <v>343</v>
      </c>
      <c r="L129" s="3"/>
      <c r="M129" s="3"/>
    </row>
    <row r="130" spans="1:13">
      <c r="A130" s="38"/>
      <c r="B130" s="40"/>
      <c r="C130" s="38">
        <v>56948</v>
      </c>
      <c r="D130" s="38">
        <v>4491</v>
      </c>
      <c r="E130" s="38">
        <v>6854</v>
      </c>
      <c r="F130" s="38">
        <v>10655</v>
      </c>
      <c r="G130" s="38"/>
      <c r="H130" s="38"/>
      <c r="I130" s="38"/>
      <c r="J130" s="38"/>
      <c r="K130" s="41"/>
      <c r="L130" s="3"/>
      <c r="M130" s="3"/>
    </row>
    <row r="131" spans="1:13">
      <c r="A131" s="9"/>
      <c r="B131" s="3"/>
      <c r="C131" s="3"/>
      <c r="D131" s="3"/>
      <c r="E131" s="3"/>
      <c r="F131" s="3"/>
      <c r="G131" s="3"/>
      <c r="H131" s="3"/>
      <c r="I131" s="3"/>
      <c r="J131" s="9"/>
      <c r="K131" s="9"/>
      <c r="L131" s="3"/>
      <c r="M131" s="3"/>
    </row>
    <row r="132" spans="1:13">
      <c r="A132" s="11" t="s">
        <v>25</v>
      </c>
      <c r="B132" s="8"/>
      <c r="C132" s="8" t="s">
        <v>729</v>
      </c>
      <c r="D132" s="8"/>
      <c r="E132" s="8" t="s">
        <v>730</v>
      </c>
      <c r="F132" s="8"/>
      <c r="G132" s="8"/>
      <c r="H132" s="8"/>
      <c r="I132" s="8"/>
      <c r="J132" s="9">
        <v>56950</v>
      </c>
      <c r="K132" s="8" t="s">
        <v>731</v>
      </c>
      <c r="L132" s="3"/>
      <c r="M132" s="3"/>
    </row>
    <row r="133" spans="1:13">
      <c r="A133" s="9"/>
      <c r="B133" s="10"/>
      <c r="C133" s="9">
        <v>79562</v>
      </c>
      <c r="D133" s="9"/>
      <c r="E133" s="9">
        <v>16315</v>
      </c>
      <c r="F133" s="9"/>
      <c r="G133" s="9"/>
      <c r="H133" s="9"/>
      <c r="I133" s="9"/>
      <c r="J133" s="9"/>
      <c r="K133" s="11"/>
      <c r="L133" s="3"/>
      <c r="M133" s="3"/>
    </row>
    <row r="134" spans="1:13">
      <c r="A134" s="9"/>
      <c r="B134" s="3"/>
      <c r="C134" s="3"/>
      <c r="D134" s="3"/>
      <c r="E134" s="3"/>
      <c r="F134" s="3"/>
      <c r="G134" s="3"/>
      <c r="H134" s="3"/>
      <c r="I134" s="3"/>
      <c r="J134" s="9"/>
      <c r="K134" s="9"/>
      <c r="L134" s="3"/>
      <c r="M134" s="3"/>
    </row>
    <row r="135" spans="1:13">
      <c r="A135" s="41" t="s">
        <v>27</v>
      </c>
      <c r="B135" s="37"/>
      <c r="C135" s="37" t="s">
        <v>568</v>
      </c>
      <c r="D135" s="37" t="s">
        <v>568</v>
      </c>
      <c r="E135" s="37" t="s">
        <v>414</v>
      </c>
      <c r="F135" s="37"/>
      <c r="G135" s="37"/>
      <c r="H135" s="37"/>
      <c r="I135" s="37"/>
      <c r="J135" s="38">
        <v>54213</v>
      </c>
      <c r="K135" s="37" t="s">
        <v>416</v>
      </c>
      <c r="L135" s="3"/>
      <c r="M135" s="3"/>
    </row>
    <row r="136" spans="1:13">
      <c r="A136" s="38"/>
      <c r="B136" s="38"/>
      <c r="C136" s="38">
        <v>70087</v>
      </c>
      <c r="D136" s="38">
        <v>5958</v>
      </c>
      <c r="E136" s="38">
        <v>11180</v>
      </c>
      <c r="F136" s="38"/>
      <c r="G136" s="38"/>
      <c r="H136" s="38"/>
      <c r="I136" s="38"/>
      <c r="J136" s="38"/>
      <c r="K136" s="41"/>
      <c r="L136" s="3"/>
      <c r="M136" s="3"/>
    </row>
    <row r="137" spans="1:13">
      <c r="A137" s="9"/>
      <c r="B137" s="3"/>
      <c r="C137" s="3"/>
      <c r="D137" s="3"/>
      <c r="E137" s="3"/>
      <c r="F137" s="3"/>
      <c r="G137" s="3"/>
      <c r="H137" s="3"/>
      <c r="I137" s="9"/>
      <c r="J137" s="9"/>
      <c r="K137" s="9"/>
      <c r="L137" s="3"/>
      <c r="M137" s="3"/>
    </row>
    <row r="138" spans="1:13">
      <c r="A138" s="11" t="s">
        <v>30</v>
      </c>
      <c r="B138" s="8"/>
      <c r="C138" s="8" t="s">
        <v>86</v>
      </c>
      <c r="D138" s="8" t="s">
        <v>86</v>
      </c>
      <c r="E138" s="8" t="s">
        <v>86</v>
      </c>
      <c r="F138" s="8"/>
      <c r="G138" s="8"/>
      <c r="H138" s="8"/>
      <c r="I138" s="8"/>
      <c r="J138" s="9">
        <v>41690</v>
      </c>
      <c r="K138" s="8" t="s">
        <v>99</v>
      </c>
      <c r="L138" s="3"/>
      <c r="M138" s="3"/>
    </row>
    <row r="139" spans="1:13">
      <c r="A139" s="9"/>
      <c r="B139" s="11"/>
      <c r="C139" s="9">
        <v>73582</v>
      </c>
      <c r="D139" s="9">
        <v>4800</v>
      </c>
      <c r="E139" s="9">
        <v>11804</v>
      </c>
      <c r="F139" s="9"/>
      <c r="G139" s="9"/>
      <c r="H139" s="9"/>
      <c r="I139" s="9"/>
      <c r="J139" s="9"/>
      <c r="K139" s="11"/>
      <c r="L139" s="3"/>
      <c r="M139" s="3"/>
    </row>
    <row r="140" spans="1:13">
      <c r="A140" s="9"/>
      <c r="B140" s="3"/>
      <c r="C140" s="3"/>
      <c r="D140" s="3"/>
      <c r="E140" s="3"/>
      <c r="F140" s="3"/>
      <c r="G140" s="3"/>
      <c r="H140" s="3"/>
      <c r="I140" s="3"/>
      <c r="J140" s="3"/>
      <c r="K140" s="9"/>
      <c r="L140" s="3"/>
      <c r="M140" s="3"/>
    </row>
    <row r="141" spans="1:13">
      <c r="A141" s="41" t="s">
        <v>31</v>
      </c>
      <c r="B141" s="37" t="s">
        <v>72</v>
      </c>
      <c r="C141" s="37" t="s">
        <v>793</v>
      </c>
      <c r="D141" s="37"/>
      <c r="E141" s="37" t="s">
        <v>72</v>
      </c>
      <c r="F141" s="37" t="s">
        <v>72</v>
      </c>
      <c r="G141" s="37"/>
      <c r="H141" s="37"/>
      <c r="I141" s="37"/>
      <c r="J141" s="38">
        <v>13462</v>
      </c>
      <c r="K141" s="37" t="s">
        <v>92</v>
      </c>
      <c r="L141" s="3"/>
      <c r="M141" s="3"/>
    </row>
    <row r="142" spans="1:13">
      <c r="A142" s="38"/>
      <c r="B142" s="38">
        <v>73560</v>
      </c>
      <c r="C142" s="38">
        <v>53566</v>
      </c>
      <c r="D142" s="38"/>
      <c r="E142" s="38">
        <v>4280</v>
      </c>
      <c r="F142" s="38">
        <v>3357</v>
      </c>
      <c r="G142" s="38"/>
      <c r="H142" s="38"/>
      <c r="I142" s="38"/>
      <c r="J142" s="38"/>
      <c r="K142" s="41"/>
      <c r="L142" s="3"/>
      <c r="M142" s="3"/>
    </row>
    <row r="143" spans="1:13">
      <c r="A143" s="9"/>
      <c r="B143" s="3"/>
      <c r="C143" s="3"/>
      <c r="D143" s="3"/>
      <c r="E143" s="3"/>
      <c r="F143" s="3"/>
      <c r="G143" s="3"/>
      <c r="H143" s="3"/>
      <c r="I143" s="3"/>
      <c r="J143" s="9"/>
      <c r="K143" s="9"/>
      <c r="L143" s="3"/>
      <c r="M143" s="3"/>
    </row>
    <row r="144" spans="1:13">
      <c r="A144" s="11" t="s">
        <v>34</v>
      </c>
      <c r="B144" s="8" t="s">
        <v>794</v>
      </c>
      <c r="C144" s="8" t="s">
        <v>795</v>
      </c>
      <c r="D144" s="8" t="s">
        <v>795</v>
      </c>
      <c r="E144" s="8"/>
      <c r="F144" s="8"/>
      <c r="G144" s="8"/>
      <c r="H144" s="8"/>
      <c r="I144" s="8"/>
      <c r="J144" s="9">
        <v>18407</v>
      </c>
      <c r="K144" s="8" t="s">
        <v>796</v>
      </c>
      <c r="L144" s="3"/>
      <c r="M144" s="3"/>
    </row>
    <row r="145" spans="1:13">
      <c r="A145" s="9"/>
      <c r="B145" s="11">
        <v>32207</v>
      </c>
      <c r="C145" s="9">
        <v>64094</v>
      </c>
      <c r="D145" s="9">
        <v>6176</v>
      </c>
      <c r="E145" s="9"/>
      <c r="F145" s="9"/>
      <c r="G145" s="9"/>
      <c r="H145" s="9"/>
      <c r="I145" s="9"/>
      <c r="J145" s="9"/>
      <c r="K145" s="11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41" t="s">
        <v>37</v>
      </c>
      <c r="B147" s="37"/>
      <c r="C147" s="37" t="s">
        <v>451</v>
      </c>
      <c r="D147" s="37" t="s">
        <v>451</v>
      </c>
      <c r="E147" s="37" t="s">
        <v>451</v>
      </c>
      <c r="F147" s="37"/>
      <c r="G147" s="37"/>
      <c r="H147" s="37"/>
      <c r="I147" s="40"/>
      <c r="J147" s="38">
        <v>37289</v>
      </c>
      <c r="K147" s="37" t="s">
        <v>735</v>
      </c>
      <c r="L147" s="9"/>
      <c r="M147" s="3"/>
    </row>
    <row r="148" spans="1:13">
      <c r="A148" s="38"/>
      <c r="B148" s="38"/>
      <c r="C148" s="38">
        <v>60812</v>
      </c>
      <c r="D148" s="38">
        <v>4322</v>
      </c>
      <c r="E148" s="38">
        <v>8772</v>
      </c>
      <c r="F148" s="38"/>
      <c r="G148" s="38"/>
      <c r="H148" s="38"/>
      <c r="I148" s="38"/>
      <c r="J148" s="38"/>
      <c r="K148" s="41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11" t="s">
        <v>39</v>
      </c>
      <c r="B150" s="8" t="s">
        <v>98</v>
      </c>
      <c r="C150" s="8" t="s">
        <v>797</v>
      </c>
      <c r="D150" s="8" t="s">
        <v>798</v>
      </c>
      <c r="E150" s="8" t="s">
        <v>798</v>
      </c>
      <c r="F150" s="8" t="s">
        <v>98</v>
      </c>
      <c r="G150" s="8"/>
      <c r="H150" s="8"/>
      <c r="I150" s="8"/>
      <c r="J150" s="9">
        <v>8277</v>
      </c>
      <c r="K150" s="8" t="s">
        <v>737</v>
      </c>
      <c r="L150" s="9"/>
      <c r="M150" s="3"/>
    </row>
    <row r="151" spans="1:13">
      <c r="A151" s="9"/>
      <c r="B151" s="9">
        <v>50279</v>
      </c>
      <c r="C151" s="9">
        <v>52308</v>
      </c>
      <c r="D151" s="9">
        <v>5414</v>
      </c>
      <c r="E151" s="9">
        <v>7820</v>
      </c>
      <c r="F151" s="9">
        <v>2771</v>
      </c>
      <c r="G151" s="9"/>
      <c r="H151" s="9"/>
      <c r="I151" s="9"/>
      <c r="J151" s="9"/>
      <c r="K151" s="11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41" t="s">
        <v>43</v>
      </c>
      <c r="B153" s="37" t="s">
        <v>799</v>
      </c>
      <c r="C153" s="37" t="s">
        <v>87</v>
      </c>
      <c r="D153" s="37" t="s">
        <v>87</v>
      </c>
      <c r="E153" s="37" t="s">
        <v>87</v>
      </c>
      <c r="F153" s="37" t="s">
        <v>87</v>
      </c>
      <c r="G153" s="37"/>
      <c r="H153" s="37"/>
      <c r="I153" s="37"/>
      <c r="J153" s="38">
        <v>12177</v>
      </c>
      <c r="K153" s="37" t="s">
        <v>40</v>
      </c>
      <c r="L153" s="9"/>
      <c r="M153" s="3"/>
    </row>
    <row r="154" spans="1:13">
      <c r="A154" s="38"/>
      <c r="B154" s="41">
        <v>48788</v>
      </c>
      <c r="C154" s="38">
        <v>64447</v>
      </c>
      <c r="D154" s="38">
        <v>4913</v>
      </c>
      <c r="E154" s="38">
        <v>8021</v>
      </c>
      <c r="F154" s="38">
        <v>3205</v>
      </c>
      <c r="G154" s="38"/>
      <c r="H154" s="38"/>
      <c r="I154" s="38"/>
      <c r="J154" s="38"/>
      <c r="K154" s="41"/>
      <c r="L154" s="3"/>
      <c r="M154" s="3"/>
    </row>
    <row r="155" spans="1:13">
      <c r="A155" s="9"/>
      <c r="B155" s="3"/>
      <c r="C155" s="3"/>
      <c r="D155" s="3"/>
      <c r="E155" s="3"/>
      <c r="F155" s="3"/>
      <c r="G155" s="3"/>
      <c r="H155" s="3"/>
      <c r="I155" s="3"/>
      <c r="J155" s="9"/>
      <c r="K155" s="9"/>
      <c r="L155" s="3"/>
      <c r="M155" s="3"/>
    </row>
    <row r="156" spans="1:13">
      <c r="A156" s="11" t="s">
        <v>46</v>
      </c>
      <c r="B156" s="8"/>
      <c r="C156" s="8" t="s">
        <v>88</v>
      </c>
      <c r="D156" s="8" t="s">
        <v>88</v>
      </c>
      <c r="E156" s="8" t="s">
        <v>88</v>
      </c>
      <c r="F156" s="8"/>
      <c r="G156" s="8"/>
      <c r="H156" s="8"/>
      <c r="I156" s="8"/>
      <c r="J156" s="9">
        <v>50841</v>
      </c>
      <c r="K156" s="8" t="s">
        <v>44</v>
      </c>
      <c r="L156" s="9"/>
      <c r="M156" s="3"/>
    </row>
    <row r="157" spans="1:13">
      <c r="A157" s="9"/>
      <c r="B157" s="9"/>
      <c r="C157" s="9">
        <v>67513</v>
      </c>
      <c r="D157" s="9">
        <v>5263</v>
      </c>
      <c r="E157" s="9">
        <v>9477</v>
      </c>
      <c r="F157" s="9"/>
      <c r="G157" s="9"/>
      <c r="H157" s="9"/>
      <c r="I157" s="9"/>
      <c r="J157" s="9"/>
      <c r="K157" s="11"/>
      <c r="L157" s="3"/>
      <c r="M157" s="3"/>
    </row>
    <row r="158" spans="1:13">
      <c r="A158" s="9"/>
      <c r="B158" s="3"/>
      <c r="C158" s="3"/>
      <c r="D158" s="3"/>
      <c r="E158" s="3"/>
      <c r="F158" s="3"/>
      <c r="G158" s="3"/>
      <c r="H158" s="3"/>
      <c r="I158" s="3"/>
      <c r="J158" s="9"/>
      <c r="K158" s="9"/>
      <c r="L158" s="3"/>
      <c r="M158" s="3"/>
    </row>
    <row r="159" spans="1:13">
      <c r="A159" s="41" t="s">
        <v>48</v>
      </c>
      <c r="B159" s="37" t="s">
        <v>800</v>
      </c>
      <c r="C159" s="37" t="s">
        <v>418</v>
      </c>
      <c r="D159" s="37" t="s">
        <v>418</v>
      </c>
      <c r="E159" s="37"/>
      <c r="F159" s="37"/>
      <c r="G159" s="37"/>
      <c r="H159" s="37"/>
      <c r="I159" s="37"/>
      <c r="J159" s="38">
        <v>12117</v>
      </c>
      <c r="K159" s="37" t="s">
        <v>419</v>
      </c>
      <c r="L159" s="9"/>
      <c r="M159" s="3"/>
    </row>
    <row r="160" spans="1:13">
      <c r="A160" s="38"/>
      <c r="B160" s="38">
        <v>48573</v>
      </c>
      <c r="C160" s="38">
        <v>68102</v>
      </c>
      <c r="D160" s="38">
        <v>4638</v>
      </c>
      <c r="E160" s="38"/>
      <c r="F160" s="38"/>
      <c r="G160" s="38"/>
      <c r="H160" s="38"/>
      <c r="I160" s="38"/>
      <c r="J160" s="38"/>
      <c r="K160" s="41"/>
      <c r="L160" s="3"/>
      <c r="M160" s="3"/>
    </row>
    <row r="161" spans="1:13">
      <c r="A161" s="9"/>
      <c r="B161" s="3"/>
      <c r="C161" s="3"/>
      <c r="D161" s="3"/>
      <c r="E161" s="3"/>
      <c r="F161" s="3"/>
      <c r="G161" s="3"/>
      <c r="H161" s="3"/>
      <c r="I161" s="3"/>
      <c r="J161" s="9"/>
      <c r="K161" s="9"/>
      <c r="L161" s="3"/>
      <c r="M161" s="3"/>
    </row>
    <row r="162" spans="1:13">
      <c r="A162" s="11" t="s">
        <v>50</v>
      </c>
      <c r="B162" s="8" t="s">
        <v>801</v>
      </c>
      <c r="C162" s="8" t="s">
        <v>658</v>
      </c>
      <c r="D162" s="8" t="s">
        <v>658</v>
      </c>
      <c r="E162" s="8" t="s">
        <v>658</v>
      </c>
      <c r="F162" s="8" t="s">
        <v>658</v>
      </c>
      <c r="G162" s="8"/>
      <c r="H162" s="8"/>
      <c r="I162" s="8"/>
      <c r="J162" s="9">
        <v>18712</v>
      </c>
      <c r="K162" s="8" t="s">
        <v>659</v>
      </c>
      <c r="L162" s="9"/>
      <c r="M162" s="3"/>
    </row>
    <row r="163" spans="1:13">
      <c r="A163" s="9"/>
      <c r="B163" s="11">
        <v>39871</v>
      </c>
      <c r="C163" s="9">
        <v>58373</v>
      </c>
      <c r="D163" s="9">
        <v>2392</v>
      </c>
      <c r="E163" s="9">
        <v>3349</v>
      </c>
      <c r="F163" s="9">
        <v>3175</v>
      </c>
      <c r="G163" s="9"/>
      <c r="H163" s="9"/>
      <c r="I163" s="9"/>
      <c r="J163" s="9"/>
      <c r="K163" s="11"/>
      <c r="L163" s="3"/>
      <c r="M163" s="3"/>
    </row>
    <row r="164" spans="1:13">
      <c r="A164" s="9"/>
      <c r="B164" s="3"/>
      <c r="C164" s="3"/>
      <c r="D164" s="3"/>
      <c r="E164" s="3"/>
      <c r="F164" s="3"/>
      <c r="G164" s="3"/>
      <c r="H164" s="3"/>
      <c r="I164" s="3"/>
      <c r="J164" s="9"/>
      <c r="K164" s="9"/>
      <c r="L164" s="3"/>
      <c r="M164" s="3"/>
    </row>
    <row r="165" spans="1:13">
      <c r="A165" s="41" t="s">
        <v>51</v>
      </c>
      <c r="B165" s="37"/>
      <c r="C165" s="37" t="s">
        <v>420</v>
      </c>
      <c r="D165" s="37" t="s">
        <v>420</v>
      </c>
      <c r="E165" s="37" t="s">
        <v>420</v>
      </c>
      <c r="F165" s="37"/>
      <c r="G165" s="37"/>
      <c r="H165" s="37"/>
      <c r="I165" s="37"/>
      <c r="J165" s="38">
        <v>45737</v>
      </c>
      <c r="K165" s="37" t="s">
        <v>421</v>
      </c>
      <c r="L165" s="9"/>
      <c r="M165" s="3"/>
    </row>
    <row r="166" spans="1:13">
      <c r="A166" s="38"/>
      <c r="B166" s="38"/>
      <c r="C166" s="38">
        <v>74424</v>
      </c>
      <c r="D166" s="38">
        <v>7043</v>
      </c>
      <c r="E166" s="38">
        <v>10634</v>
      </c>
      <c r="F166" s="38"/>
      <c r="G166" s="38"/>
      <c r="H166" s="38"/>
      <c r="I166" s="41"/>
      <c r="J166" s="38"/>
      <c r="K166" s="41"/>
      <c r="L166" s="3"/>
      <c r="M166" s="3"/>
    </row>
    <row r="167" spans="1:13">
      <c r="A167" s="9"/>
      <c r="B167" s="3"/>
      <c r="C167" s="3"/>
      <c r="D167" s="3"/>
      <c r="E167" s="3"/>
      <c r="F167" s="3"/>
      <c r="G167" s="3"/>
      <c r="H167" s="3"/>
      <c r="I167" s="3"/>
      <c r="J167" s="9"/>
      <c r="K167" s="9"/>
      <c r="L167" s="3"/>
      <c r="M167" s="3"/>
    </row>
    <row r="168" spans="1:13">
      <c r="A168" s="11" t="s">
        <v>53</v>
      </c>
      <c r="B168" s="8" t="s">
        <v>739</v>
      </c>
      <c r="C168" s="8" t="s">
        <v>581</v>
      </c>
      <c r="D168" s="8" t="s">
        <v>582</v>
      </c>
      <c r="E168" s="8" t="s">
        <v>582</v>
      </c>
      <c r="F168" s="8"/>
      <c r="G168" s="8"/>
      <c r="H168" s="8"/>
      <c r="I168" s="8"/>
      <c r="J168" s="9">
        <v>21762</v>
      </c>
      <c r="K168" s="8" t="s">
        <v>584</v>
      </c>
      <c r="L168" s="9"/>
      <c r="M168" s="3"/>
    </row>
    <row r="169" spans="1:13">
      <c r="A169" s="9"/>
      <c r="B169" s="9">
        <v>44299</v>
      </c>
      <c r="C169" s="9">
        <v>77331</v>
      </c>
      <c r="D169" s="9">
        <v>6141</v>
      </c>
      <c r="E169" s="9">
        <v>7278</v>
      </c>
      <c r="F169" s="9"/>
      <c r="G169" s="9"/>
      <c r="H169" s="9"/>
      <c r="I169" s="9"/>
      <c r="J169" s="9"/>
      <c r="K169" s="11"/>
      <c r="L169" s="3"/>
      <c r="M169" s="3"/>
    </row>
    <row r="170" spans="1:13">
      <c r="A170" s="9"/>
      <c r="B170" s="3"/>
      <c r="C170" s="3"/>
      <c r="D170" s="3"/>
      <c r="E170" s="3"/>
      <c r="F170" s="3"/>
      <c r="G170" s="3"/>
      <c r="H170" s="3"/>
      <c r="I170" s="3"/>
      <c r="J170" s="9"/>
      <c r="K170" s="9"/>
      <c r="L170" s="3"/>
      <c r="M170" s="3"/>
    </row>
    <row r="171" spans="1:13">
      <c r="A171" s="41" t="s">
        <v>55</v>
      </c>
      <c r="B171" s="37" t="s">
        <v>802</v>
      </c>
      <c r="C171" s="37" t="s">
        <v>89</v>
      </c>
      <c r="D171" s="37" t="s">
        <v>89</v>
      </c>
      <c r="E171" s="37" t="s">
        <v>89</v>
      </c>
      <c r="F171" s="37" t="s">
        <v>89</v>
      </c>
      <c r="G171" s="37"/>
      <c r="H171" s="37"/>
      <c r="I171" s="37"/>
      <c r="J171" s="38">
        <v>17037</v>
      </c>
      <c r="K171" s="37" t="s">
        <v>90</v>
      </c>
      <c r="L171" s="9"/>
      <c r="M171" s="3"/>
    </row>
    <row r="172" spans="1:13">
      <c r="A172" s="38"/>
      <c r="B172" s="40">
        <v>39242</v>
      </c>
      <c r="C172" s="40">
        <v>54174</v>
      </c>
      <c r="D172" s="40">
        <v>4015</v>
      </c>
      <c r="E172" s="40">
        <v>6533</v>
      </c>
      <c r="F172" s="40">
        <v>3339</v>
      </c>
      <c r="G172" s="40"/>
      <c r="H172" s="40"/>
      <c r="I172" s="38"/>
      <c r="J172" s="38"/>
      <c r="K172" s="41"/>
      <c r="L172" s="3"/>
      <c r="M172" s="3"/>
    </row>
    <row r="173" spans="1:13">
      <c r="A173" s="9"/>
      <c r="B173" s="3"/>
      <c r="C173" s="3"/>
      <c r="D173" s="3"/>
      <c r="E173" s="3"/>
      <c r="F173" s="3"/>
      <c r="G173" s="3"/>
      <c r="H173" s="3"/>
      <c r="I173" s="3"/>
      <c r="J173" s="9"/>
      <c r="K173" s="9"/>
      <c r="L173" s="3"/>
      <c r="M173" s="3"/>
    </row>
    <row r="174" spans="1:13">
      <c r="A174" s="11" t="s">
        <v>57</v>
      </c>
      <c r="B174" s="8" t="s">
        <v>803</v>
      </c>
      <c r="C174" s="8" t="s">
        <v>804</v>
      </c>
      <c r="D174" s="8" t="s">
        <v>804</v>
      </c>
      <c r="E174" s="8" t="s">
        <v>804</v>
      </c>
      <c r="F174" s="8"/>
      <c r="G174" s="8"/>
      <c r="H174" s="8"/>
      <c r="I174" s="8"/>
      <c r="J174" s="9">
        <v>13778</v>
      </c>
      <c r="K174" s="8" t="s">
        <v>805</v>
      </c>
      <c r="L174" s="9"/>
      <c r="M174" s="3"/>
    </row>
    <row r="175" spans="1:13">
      <c r="A175" s="9"/>
      <c r="B175" s="10">
        <v>29401</v>
      </c>
      <c r="C175" s="10">
        <v>70044</v>
      </c>
      <c r="D175" s="10">
        <v>4380</v>
      </c>
      <c r="E175" s="10">
        <v>6137</v>
      </c>
      <c r="F175" s="10"/>
      <c r="G175" s="10"/>
      <c r="H175" s="10"/>
      <c r="I175" s="9"/>
      <c r="J175" s="9"/>
      <c r="K175" s="11"/>
      <c r="L175" s="3"/>
      <c r="M175" s="3"/>
    </row>
    <row r="176" spans="1:13">
      <c r="A176" s="9"/>
      <c r="B176" s="3"/>
      <c r="C176" s="3"/>
      <c r="D176" s="3"/>
      <c r="E176" s="3"/>
      <c r="F176" s="3"/>
      <c r="G176" s="3"/>
      <c r="H176" s="3"/>
      <c r="I176" s="3"/>
      <c r="J176" s="9"/>
      <c r="K176" s="9"/>
      <c r="L176" s="3"/>
      <c r="M176" s="3"/>
    </row>
    <row r="177" spans="1:13" ht="17.25">
      <c r="A177" s="11" t="s">
        <v>819</v>
      </c>
      <c r="B177" s="18" t="s">
        <v>806</v>
      </c>
      <c r="C177" s="18" t="s">
        <v>100</v>
      </c>
      <c r="D177" s="18" t="s">
        <v>100</v>
      </c>
      <c r="E177" s="18" t="s">
        <v>100</v>
      </c>
      <c r="F177" s="18"/>
      <c r="G177" s="18"/>
      <c r="H177" s="18"/>
      <c r="I177" s="18"/>
      <c r="J177" s="10">
        <v>166</v>
      </c>
      <c r="K177" s="10" t="s">
        <v>741</v>
      </c>
      <c r="L177" s="3"/>
      <c r="M177" s="3"/>
    </row>
    <row r="178" spans="1:13">
      <c r="A178" s="9"/>
      <c r="B178" s="9">
        <v>12800</v>
      </c>
      <c r="C178" s="9">
        <v>26068</v>
      </c>
      <c r="D178" s="9">
        <v>1784</v>
      </c>
      <c r="E178" s="9">
        <v>1707</v>
      </c>
      <c r="F178" s="9"/>
      <c r="G178" s="9"/>
      <c r="H178" s="9"/>
      <c r="I178" s="9"/>
      <c r="J178" s="9"/>
      <c r="K178" s="9"/>
      <c r="L178" s="9"/>
      <c r="M178" s="3"/>
    </row>
    <row r="179" spans="1:13">
      <c r="A179" s="9"/>
      <c r="B179" s="3"/>
      <c r="C179" s="3"/>
      <c r="D179" s="3"/>
      <c r="E179" s="3"/>
      <c r="F179" s="3"/>
      <c r="G179" s="3"/>
      <c r="H179" s="3"/>
      <c r="I179" s="3"/>
      <c r="J179" s="9"/>
      <c r="K179" s="9"/>
      <c r="L179" s="3"/>
      <c r="M179" s="3"/>
    </row>
    <row r="180" spans="1:13">
      <c r="A180" s="41" t="s">
        <v>60</v>
      </c>
      <c r="B180" s="37" t="s">
        <v>588</v>
      </c>
      <c r="C180" s="37" t="s">
        <v>807</v>
      </c>
      <c r="D180" s="37" t="s">
        <v>666</v>
      </c>
      <c r="E180" s="37" t="s">
        <v>666</v>
      </c>
      <c r="F180" s="37" t="s">
        <v>588</v>
      </c>
      <c r="G180" s="37"/>
      <c r="H180" s="37"/>
      <c r="I180" s="40"/>
      <c r="J180" s="38">
        <v>27823</v>
      </c>
      <c r="K180" s="37" t="s">
        <v>667</v>
      </c>
      <c r="L180" s="9"/>
      <c r="M180" s="3"/>
    </row>
    <row r="181" spans="1:13">
      <c r="A181" s="38"/>
      <c r="B181" s="40">
        <v>66232</v>
      </c>
      <c r="C181" s="38">
        <v>31431</v>
      </c>
      <c r="D181" s="40">
        <v>4093</v>
      </c>
      <c r="E181" s="40">
        <v>4278</v>
      </c>
      <c r="F181" s="40">
        <v>4036</v>
      </c>
      <c r="G181" s="40"/>
      <c r="H181" s="40"/>
      <c r="I181" s="38"/>
      <c r="J181" s="38"/>
      <c r="K181" s="41"/>
      <c r="L181" s="3"/>
      <c r="M181" s="3"/>
    </row>
    <row r="182" spans="1:13">
      <c r="A182" s="9"/>
      <c r="B182" s="3"/>
      <c r="C182" s="3"/>
      <c r="D182" s="3"/>
      <c r="E182" s="3"/>
      <c r="F182" s="3"/>
      <c r="G182" s="3"/>
      <c r="H182" s="3"/>
      <c r="I182" s="3"/>
      <c r="J182" s="9"/>
      <c r="K182" s="9"/>
      <c r="L182" s="3"/>
      <c r="M182" s="3"/>
    </row>
    <row r="183" spans="1:13">
      <c r="A183" s="11" t="s">
        <v>61</v>
      </c>
      <c r="B183" s="8"/>
      <c r="C183" s="8" t="s">
        <v>670</v>
      </c>
      <c r="D183" s="8" t="s">
        <v>670</v>
      </c>
      <c r="E183" s="8" t="s">
        <v>671</v>
      </c>
      <c r="F183" s="8" t="s">
        <v>671</v>
      </c>
      <c r="G183" s="8"/>
      <c r="H183" s="8"/>
      <c r="I183" s="10"/>
      <c r="J183" s="9">
        <v>56435</v>
      </c>
      <c r="K183" s="8" t="s">
        <v>672</v>
      </c>
      <c r="L183" s="9"/>
      <c r="M183" s="3"/>
    </row>
    <row r="184" spans="1:13">
      <c r="A184" s="9"/>
      <c r="B184" s="10"/>
      <c r="C184" s="9">
        <v>72342</v>
      </c>
      <c r="D184" s="10">
        <v>6039</v>
      </c>
      <c r="E184" s="10">
        <v>7887</v>
      </c>
      <c r="F184" s="10">
        <v>4373</v>
      </c>
      <c r="G184" s="10"/>
      <c r="H184" s="10"/>
      <c r="I184" s="9"/>
      <c r="J184" s="9"/>
      <c r="K184" s="11"/>
      <c r="L184" s="3"/>
      <c r="M184" s="3"/>
    </row>
    <row r="185" spans="1:13">
      <c r="A185" s="9"/>
      <c r="B185" s="3"/>
      <c r="C185" s="3"/>
      <c r="D185" s="3"/>
      <c r="E185" s="3"/>
      <c r="F185" s="3"/>
      <c r="G185" s="3"/>
      <c r="H185" s="3"/>
      <c r="I185" s="3"/>
      <c r="J185" s="9"/>
      <c r="K185" s="9"/>
      <c r="L185" s="3"/>
      <c r="M185" s="3"/>
    </row>
    <row r="186" spans="1:13">
      <c r="A186" s="41" t="s">
        <v>62</v>
      </c>
      <c r="B186" s="37" t="s">
        <v>432</v>
      </c>
      <c r="C186" s="37" t="s">
        <v>592</v>
      </c>
      <c r="D186" s="37" t="s">
        <v>432</v>
      </c>
      <c r="E186" s="37" t="s">
        <v>432</v>
      </c>
      <c r="F186" s="37" t="s">
        <v>432</v>
      </c>
      <c r="G186" s="37"/>
      <c r="H186" s="37"/>
      <c r="I186" s="40"/>
      <c r="J186" s="38">
        <v>14908</v>
      </c>
      <c r="K186" s="37" t="s">
        <v>808</v>
      </c>
      <c r="L186" s="9"/>
      <c r="M186" s="3"/>
    </row>
    <row r="187" spans="1:13">
      <c r="A187" s="38"/>
      <c r="B187" s="40">
        <v>65609</v>
      </c>
      <c r="C187" s="40">
        <v>22328</v>
      </c>
      <c r="D187" s="40">
        <v>1990</v>
      </c>
      <c r="E187" s="40">
        <v>3736</v>
      </c>
      <c r="F187" s="40">
        <v>3696</v>
      </c>
      <c r="G187" s="40"/>
      <c r="H187" s="40"/>
      <c r="I187" s="40"/>
      <c r="J187" s="38"/>
      <c r="K187" s="41"/>
      <c r="L187" s="3"/>
      <c r="M187" s="3"/>
    </row>
    <row r="188" spans="1:13">
      <c r="A188" s="38"/>
      <c r="B188" s="64"/>
      <c r="C188" s="65"/>
      <c r="D188" s="65"/>
      <c r="E188" s="65"/>
      <c r="F188" s="65"/>
      <c r="G188" s="65"/>
      <c r="H188" s="65"/>
      <c r="I188" s="38"/>
      <c r="J188" s="38"/>
      <c r="K188" s="38"/>
      <c r="L188" s="3"/>
      <c r="M188" s="3"/>
    </row>
    <row r="189" spans="1:13" ht="17.25">
      <c r="A189" s="38" t="s">
        <v>820</v>
      </c>
      <c r="B189" s="66" t="s">
        <v>592</v>
      </c>
      <c r="C189" s="66" t="s">
        <v>191</v>
      </c>
      <c r="D189" s="66" t="s">
        <v>191</v>
      </c>
      <c r="E189" s="66" t="s">
        <v>592</v>
      </c>
      <c r="F189" s="66"/>
      <c r="G189" s="66"/>
      <c r="H189" s="66"/>
      <c r="I189" s="38"/>
      <c r="J189" s="38">
        <v>173</v>
      </c>
      <c r="K189" s="40" t="s">
        <v>809</v>
      </c>
      <c r="L189" s="9"/>
      <c r="M189" s="9"/>
    </row>
    <row r="190" spans="1:13">
      <c r="A190" s="38"/>
      <c r="B190" s="66">
        <v>7523</v>
      </c>
      <c r="C190" s="66">
        <v>5411</v>
      </c>
      <c r="D190" s="66">
        <v>910</v>
      </c>
      <c r="E190" s="66">
        <v>728</v>
      </c>
      <c r="F190" s="66"/>
      <c r="G190" s="66"/>
      <c r="H190" s="66"/>
      <c r="I190" s="38"/>
      <c r="J190" s="38"/>
      <c r="K190" s="38"/>
      <c r="L190" s="9"/>
      <c r="M190" s="9"/>
    </row>
    <row r="191" spans="1:13">
      <c r="A191" s="9"/>
      <c r="B191" s="26"/>
      <c r="C191" s="27"/>
      <c r="D191" s="27"/>
      <c r="E191" s="27"/>
      <c r="F191" s="27"/>
      <c r="G191" s="27"/>
      <c r="H191" s="27"/>
      <c r="I191" s="9"/>
      <c r="J191" s="9"/>
      <c r="K191" s="9"/>
      <c r="L191" s="3"/>
      <c r="M191" s="3"/>
    </row>
    <row r="192" spans="1:13">
      <c r="A192" s="11" t="s">
        <v>64</v>
      </c>
      <c r="B192" s="8" t="s">
        <v>810</v>
      </c>
      <c r="C192" s="8" t="s">
        <v>744</v>
      </c>
      <c r="D192" s="8" t="s">
        <v>744</v>
      </c>
      <c r="E192" s="8" t="s">
        <v>744</v>
      </c>
      <c r="F192" s="8"/>
      <c r="G192" s="8"/>
      <c r="H192" s="8"/>
      <c r="I192" s="10"/>
      <c r="J192" s="9">
        <v>19661</v>
      </c>
      <c r="K192" s="8" t="s">
        <v>745</v>
      </c>
      <c r="L192" s="9"/>
      <c r="M192" s="3"/>
    </row>
    <row r="193" spans="1:13">
      <c r="A193" s="9"/>
      <c r="B193" s="10">
        <v>46267</v>
      </c>
      <c r="C193" s="10">
        <v>77357</v>
      </c>
      <c r="D193" s="10">
        <v>5628</v>
      </c>
      <c r="E193" s="10">
        <v>7609</v>
      </c>
      <c r="F193" s="10"/>
      <c r="G193" s="10"/>
      <c r="H193" s="10"/>
      <c r="I193" s="10"/>
      <c r="J193" s="9"/>
      <c r="K193" s="9"/>
      <c r="L193" s="3"/>
      <c r="M193" s="3"/>
    </row>
    <row r="194" spans="1:13">
      <c r="A194" s="9"/>
      <c r="B194" s="10"/>
      <c r="C194" s="10"/>
      <c r="D194" s="10"/>
      <c r="E194" s="10"/>
      <c r="F194" s="10"/>
      <c r="G194" s="10"/>
      <c r="H194" s="10"/>
      <c r="I194" s="10"/>
      <c r="J194" s="9"/>
      <c r="K194" s="9"/>
      <c r="L194" s="3"/>
      <c r="M194" s="3"/>
    </row>
    <row r="195" spans="1:13">
      <c r="A195" s="38" t="s">
        <v>91</v>
      </c>
      <c r="B195" s="40" t="s">
        <v>811</v>
      </c>
      <c r="C195" s="40" t="s">
        <v>506</v>
      </c>
      <c r="D195" s="40" t="s">
        <v>506</v>
      </c>
      <c r="E195" s="40" t="s">
        <v>506</v>
      </c>
      <c r="F195" s="40" t="s">
        <v>506</v>
      </c>
      <c r="G195" s="40"/>
      <c r="H195" s="40"/>
      <c r="I195" s="40"/>
      <c r="J195" s="38">
        <v>19343</v>
      </c>
      <c r="K195" s="40" t="s">
        <v>507</v>
      </c>
      <c r="L195" s="9"/>
      <c r="M195" s="3"/>
    </row>
    <row r="196" spans="1:13">
      <c r="A196" s="38"/>
      <c r="B196" s="40">
        <v>33611</v>
      </c>
      <c r="C196" s="40">
        <v>67063</v>
      </c>
      <c r="D196" s="40">
        <v>5098</v>
      </c>
      <c r="E196" s="40">
        <v>5847</v>
      </c>
      <c r="F196" s="40">
        <v>3440</v>
      </c>
      <c r="G196" s="40"/>
      <c r="H196" s="40"/>
      <c r="I196" s="40"/>
      <c r="J196" s="38"/>
      <c r="K196" s="38"/>
      <c r="L196" s="3"/>
      <c r="M196" s="3"/>
    </row>
    <row r="197" spans="1:13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3"/>
      <c r="M197" s="3"/>
    </row>
    <row r="198" spans="1:13">
      <c r="A198" s="11" t="s">
        <v>66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17" t="s">
        <v>814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9" t="s">
        <v>821</v>
      </c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9" t="s">
        <v>822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9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72" t="s">
        <v>751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9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9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</sheetData>
  <hyperlinks>
    <hyperlink ref="A203" r:id="rId1"/>
  </hyperlinks>
  <pageMargins left="0.7" right="0.7" top="0.75" bottom="0.75" header="0.3" footer="0.3"/>
  <pageSetup scale="57" fitToHeight="4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6"/>
  <sheetViews>
    <sheetView workbookViewId="0"/>
  </sheetViews>
  <sheetFormatPr defaultColWidth="15.77734375" defaultRowHeight="15.75"/>
  <cols>
    <col min="1" max="1" width="17.77734375" customWidth="1"/>
    <col min="13" max="13" width="25.77734375" customWidth="1"/>
  </cols>
  <sheetData>
    <row r="1" spans="1:21" ht="20.25">
      <c r="A1" s="29" t="s">
        <v>0</v>
      </c>
      <c r="B1" s="5"/>
      <c r="C1" s="5"/>
      <c r="D1" s="5"/>
      <c r="E1" s="5"/>
      <c r="F1" s="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0.25">
      <c r="A2" s="30" t="s">
        <v>891</v>
      </c>
      <c r="B2" s="5"/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9.25">
      <c r="A4" s="31" t="s">
        <v>1</v>
      </c>
      <c r="B4" s="32" t="s">
        <v>73</v>
      </c>
      <c r="C4" s="33" t="s">
        <v>2</v>
      </c>
      <c r="D4" s="33" t="s">
        <v>760</v>
      </c>
      <c r="E4" s="33" t="s">
        <v>80</v>
      </c>
      <c r="F4" s="33" t="s">
        <v>825</v>
      </c>
      <c r="G4" s="33" t="s">
        <v>826</v>
      </c>
      <c r="H4" s="34" t="s">
        <v>196</v>
      </c>
      <c r="I4" s="33" t="s">
        <v>200</v>
      </c>
      <c r="J4" s="33" t="s">
        <v>201</v>
      </c>
      <c r="K4" s="33" t="s">
        <v>195</v>
      </c>
      <c r="L4" s="35" t="s">
        <v>197</v>
      </c>
      <c r="M4" s="33" t="s">
        <v>3</v>
      </c>
      <c r="N4" s="3"/>
      <c r="O4" s="3"/>
      <c r="P4" s="3"/>
      <c r="Q4" s="3"/>
      <c r="R4" s="3"/>
      <c r="S4" s="3"/>
      <c r="T4" s="3"/>
      <c r="U4" s="3"/>
    </row>
    <row r="5" spans="1:21">
      <c r="A5" s="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3"/>
      <c r="N5" s="3"/>
      <c r="O5" s="3"/>
      <c r="P5" s="3"/>
      <c r="Q5" s="3"/>
      <c r="R5" s="3"/>
      <c r="S5" s="3"/>
      <c r="T5" s="3"/>
      <c r="U5" s="3"/>
    </row>
    <row r="6" spans="1:21">
      <c r="A6" s="7" t="s">
        <v>4</v>
      </c>
      <c r="B6" s="8" t="s">
        <v>827</v>
      </c>
      <c r="C6" s="8" t="s">
        <v>684</v>
      </c>
      <c r="D6" s="8" t="s">
        <v>684</v>
      </c>
      <c r="E6" s="8" t="s">
        <v>74</v>
      </c>
      <c r="F6" s="8" t="s">
        <v>827</v>
      </c>
      <c r="G6" s="8" t="s">
        <v>828</v>
      </c>
      <c r="H6" s="8"/>
      <c r="I6" s="8" t="s">
        <v>827</v>
      </c>
      <c r="J6" s="8"/>
      <c r="K6" s="8"/>
      <c r="L6" s="9">
        <v>7211</v>
      </c>
      <c r="M6" s="8" t="s">
        <v>685</v>
      </c>
      <c r="N6" s="9">
        <f>SUM(B6:L7)</f>
        <v>91317</v>
      </c>
      <c r="O6" s="3"/>
      <c r="P6" s="3"/>
      <c r="Q6" s="3"/>
      <c r="R6" s="3"/>
      <c r="S6" s="3"/>
      <c r="T6" s="3"/>
      <c r="U6" s="3"/>
    </row>
    <row r="7" spans="1:21">
      <c r="A7" s="3"/>
      <c r="B7" s="10">
        <v>20934</v>
      </c>
      <c r="C7" s="10">
        <v>50602</v>
      </c>
      <c r="D7" s="10">
        <v>4092</v>
      </c>
      <c r="E7" s="10">
        <v>5256</v>
      </c>
      <c r="F7" s="9">
        <v>396</v>
      </c>
      <c r="G7" s="9">
        <v>1874</v>
      </c>
      <c r="H7" s="9"/>
      <c r="I7" s="9">
        <v>952</v>
      </c>
      <c r="J7" s="9"/>
      <c r="K7" s="10"/>
      <c r="L7" s="9"/>
      <c r="M7" s="11"/>
      <c r="N7" s="3"/>
      <c r="O7" s="3"/>
      <c r="P7" s="3"/>
      <c r="Q7" s="3"/>
      <c r="R7" s="3"/>
      <c r="S7" s="3"/>
      <c r="T7" s="3"/>
      <c r="U7" s="3"/>
    </row>
    <row r="8" spans="1:21">
      <c r="A8" s="3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3"/>
      <c r="O8" s="3"/>
      <c r="P8" s="3"/>
      <c r="Q8" s="3"/>
      <c r="R8" s="3"/>
      <c r="S8" s="3"/>
      <c r="T8" s="3"/>
      <c r="U8" s="3"/>
    </row>
    <row r="9" spans="1:21">
      <c r="A9" s="36" t="s">
        <v>6</v>
      </c>
      <c r="B9" s="37" t="s">
        <v>829</v>
      </c>
      <c r="C9" s="37" t="s">
        <v>81</v>
      </c>
      <c r="D9" s="37" t="s">
        <v>81</v>
      </c>
      <c r="E9" s="37" t="s">
        <v>81</v>
      </c>
      <c r="F9" s="37"/>
      <c r="G9" s="37" t="s">
        <v>830</v>
      </c>
      <c r="H9" s="37"/>
      <c r="I9" s="37"/>
      <c r="J9" s="37"/>
      <c r="K9" s="37"/>
      <c r="L9" s="38">
        <v>8680</v>
      </c>
      <c r="M9" s="37" t="s">
        <v>82</v>
      </c>
      <c r="N9" s="9">
        <f>SUM(B9:L10)</f>
        <v>84362</v>
      </c>
      <c r="O9" s="3"/>
      <c r="P9" s="3"/>
      <c r="Q9" s="3"/>
      <c r="R9" s="3"/>
      <c r="S9" s="3"/>
      <c r="T9" s="3"/>
      <c r="U9" s="3"/>
    </row>
    <row r="10" spans="1:21">
      <c r="A10" s="39"/>
      <c r="B10" s="40">
        <v>24675</v>
      </c>
      <c r="C10" s="40">
        <v>40196</v>
      </c>
      <c r="D10" s="40">
        <v>4157</v>
      </c>
      <c r="E10" s="40">
        <v>3342</v>
      </c>
      <c r="F10" s="38"/>
      <c r="G10" s="40">
        <v>3312</v>
      </c>
      <c r="H10" s="40"/>
      <c r="I10" s="40"/>
      <c r="J10" s="40"/>
      <c r="K10" s="40"/>
      <c r="L10" s="38"/>
      <c r="M10" s="41"/>
      <c r="N10" s="3"/>
      <c r="O10" s="3"/>
      <c r="P10" s="3"/>
      <c r="Q10" s="3"/>
      <c r="R10" s="3"/>
      <c r="S10" s="3"/>
      <c r="T10" s="3"/>
      <c r="U10" s="3"/>
    </row>
    <row r="11" spans="1:21">
      <c r="A11" s="3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3"/>
      <c r="O11" s="3"/>
      <c r="P11" s="3"/>
      <c r="Q11" s="3"/>
      <c r="R11" s="3"/>
      <c r="S11" s="3"/>
      <c r="T11" s="3"/>
      <c r="U11" s="3"/>
    </row>
    <row r="12" spans="1:21">
      <c r="A12" s="7" t="s">
        <v>7</v>
      </c>
      <c r="B12" s="8" t="s">
        <v>831</v>
      </c>
      <c r="C12" s="8" t="s">
        <v>604</v>
      </c>
      <c r="D12" s="8" t="s">
        <v>604</v>
      </c>
      <c r="E12" s="8" t="s">
        <v>605</v>
      </c>
      <c r="F12" s="8"/>
      <c r="G12" s="8" t="s">
        <v>823</v>
      </c>
      <c r="H12" s="8"/>
      <c r="I12" s="8"/>
      <c r="J12" s="8"/>
      <c r="K12" s="8"/>
      <c r="L12" s="9">
        <v>8107</v>
      </c>
      <c r="M12" s="8" t="s">
        <v>688</v>
      </c>
      <c r="N12" s="9">
        <f>SUM(B12:L13)</f>
        <v>67694</v>
      </c>
      <c r="O12" s="3"/>
      <c r="P12" s="3"/>
      <c r="Q12" s="3"/>
      <c r="R12" s="3"/>
      <c r="S12" s="3"/>
      <c r="T12" s="3"/>
      <c r="U12" s="3"/>
    </row>
    <row r="13" spans="1:21">
      <c r="A13" s="3"/>
      <c r="B13" s="10">
        <v>19673</v>
      </c>
      <c r="C13" s="10">
        <v>31762</v>
      </c>
      <c r="D13" s="10">
        <v>3005</v>
      </c>
      <c r="E13" s="10">
        <v>3161</v>
      </c>
      <c r="F13" s="9"/>
      <c r="G13" s="10">
        <v>1986</v>
      </c>
      <c r="H13" s="10"/>
      <c r="I13" s="10"/>
      <c r="J13" s="10"/>
      <c r="K13" s="10"/>
      <c r="L13" s="9"/>
      <c r="M13" s="11"/>
      <c r="N13" s="3"/>
      <c r="O13" s="3"/>
      <c r="P13" s="3"/>
      <c r="Q13" s="3"/>
      <c r="R13" s="3"/>
      <c r="S13" s="3"/>
      <c r="T13" s="3"/>
      <c r="U13" s="3"/>
    </row>
    <row r="14" spans="1:21">
      <c r="A14" s="3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3"/>
      <c r="O14" s="3"/>
      <c r="P14" s="3"/>
      <c r="Q14" s="3"/>
      <c r="R14" s="3"/>
      <c r="S14" s="3"/>
      <c r="T14" s="3"/>
      <c r="U14" s="3"/>
    </row>
    <row r="15" spans="1:21">
      <c r="A15" s="36" t="s">
        <v>9</v>
      </c>
      <c r="B15" s="37"/>
      <c r="C15" s="37" t="s">
        <v>520</v>
      </c>
      <c r="D15" s="37" t="s">
        <v>520</v>
      </c>
      <c r="E15" s="37" t="s">
        <v>482</v>
      </c>
      <c r="F15" s="37"/>
      <c r="G15" s="37"/>
      <c r="H15" s="37"/>
      <c r="I15" s="37" t="s">
        <v>892</v>
      </c>
      <c r="J15" s="37"/>
      <c r="K15" s="37"/>
      <c r="L15" s="38">
        <v>23356</v>
      </c>
      <c r="M15" s="37" t="s">
        <v>521</v>
      </c>
      <c r="N15" s="9">
        <f>SUM(B15:L16)</f>
        <v>67642</v>
      </c>
      <c r="O15" s="3"/>
      <c r="P15" s="3"/>
      <c r="Q15" s="3"/>
      <c r="R15" s="3"/>
      <c r="S15" s="3"/>
      <c r="T15" s="3"/>
      <c r="U15" s="3"/>
    </row>
    <row r="16" spans="1:21">
      <c r="A16" s="39"/>
      <c r="B16" s="40"/>
      <c r="C16" s="40">
        <v>33954</v>
      </c>
      <c r="D16" s="40">
        <v>3577</v>
      </c>
      <c r="E16" s="40">
        <v>4576</v>
      </c>
      <c r="F16" s="38"/>
      <c r="G16" s="38"/>
      <c r="H16" s="38"/>
      <c r="I16" s="38">
        <v>2179</v>
      </c>
      <c r="J16" s="38"/>
      <c r="K16" s="40"/>
      <c r="L16" s="38"/>
      <c r="M16" s="41"/>
      <c r="N16" s="3"/>
      <c r="O16" s="3"/>
      <c r="P16" s="3"/>
      <c r="Q16" s="3"/>
      <c r="R16" s="3"/>
      <c r="S16" s="3"/>
      <c r="T16" s="3"/>
      <c r="U16" s="3"/>
    </row>
    <row r="17" spans="1:21">
      <c r="A17" s="3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3"/>
      <c r="O17" s="3"/>
      <c r="P17" s="3"/>
      <c r="Q17" s="3"/>
      <c r="R17" s="3"/>
      <c r="S17" s="3"/>
      <c r="T17" s="3"/>
      <c r="U17" s="3"/>
    </row>
    <row r="18" spans="1:21">
      <c r="A18" s="7" t="s">
        <v>11</v>
      </c>
      <c r="B18" s="10" t="s">
        <v>832</v>
      </c>
      <c r="C18" s="10" t="s">
        <v>12</v>
      </c>
      <c r="D18" s="10" t="s">
        <v>12</v>
      </c>
      <c r="E18" s="10" t="s">
        <v>75</v>
      </c>
      <c r="F18" s="10" t="s">
        <v>833</v>
      </c>
      <c r="G18" s="10" t="s">
        <v>833</v>
      </c>
      <c r="H18" s="10"/>
      <c r="I18" s="10" t="s">
        <v>832</v>
      </c>
      <c r="J18" s="10"/>
      <c r="K18" s="10"/>
      <c r="L18" s="10">
        <v>7796</v>
      </c>
      <c r="M18" s="10" t="s">
        <v>13</v>
      </c>
      <c r="N18" s="9">
        <f>SUM(B18:L19)</f>
        <v>91316</v>
      </c>
      <c r="O18" s="3"/>
      <c r="P18" s="3"/>
      <c r="Q18" s="3"/>
      <c r="R18" s="3"/>
      <c r="S18" s="3"/>
      <c r="T18" s="3"/>
      <c r="U18" s="3"/>
    </row>
    <row r="19" spans="1:21">
      <c r="A19" s="3"/>
      <c r="B19" s="10">
        <v>26033</v>
      </c>
      <c r="C19" s="10">
        <v>46370</v>
      </c>
      <c r="D19" s="10">
        <v>3850</v>
      </c>
      <c r="E19" s="10">
        <v>3845</v>
      </c>
      <c r="F19" s="10">
        <v>353</v>
      </c>
      <c r="G19" s="10">
        <v>2017</v>
      </c>
      <c r="H19" s="10"/>
      <c r="I19" s="10">
        <v>1052</v>
      </c>
      <c r="J19" s="10"/>
      <c r="K19" s="9"/>
      <c r="L19" s="9"/>
      <c r="M19" s="9"/>
      <c r="N19" s="3"/>
      <c r="O19" s="3"/>
      <c r="P19" s="3"/>
      <c r="Q19" s="3"/>
      <c r="R19" s="3"/>
      <c r="S19" s="3"/>
      <c r="T19" s="3"/>
      <c r="U19" s="3"/>
    </row>
    <row r="20" spans="1:2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9"/>
      <c r="M20" s="9"/>
      <c r="N20" s="3"/>
      <c r="O20" s="3"/>
      <c r="P20" s="3"/>
      <c r="Q20" s="3"/>
      <c r="R20" s="3"/>
      <c r="S20" s="3"/>
      <c r="T20" s="3"/>
      <c r="U20" s="3"/>
    </row>
    <row r="21" spans="1:21">
      <c r="A21" s="36" t="s">
        <v>15</v>
      </c>
      <c r="B21" s="40" t="s">
        <v>273</v>
      </c>
      <c r="C21" s="40" t="s">
        <v>16</v>
      </c>
      <c r="D21" s="40" t="s">
        <v>16</v>
      </c>
      <c r="E21" s="40" t="s">
        <v>76</v>
      </c>
      <c r="F21" s="40" t="s">
        <v>834</v>
      </c>
      <c r="G21" s="40" t="s">
        <v>835</v>
      </c>
      <c r="H21" s="40"/>
      <c r="I21" s="40"/>
      <c r="J21" s="40"/>
      <c r="K21" s="40"/>
      <c r="L21" s="40">
        <v>9202</v>
      </c>
      <c r="M21" s="40" t="s">
        <v>293</v>
      </c>
      <c r="N21" s="9">
        <f>SUM(B21:L22)</f>
        <v>81711</v>
      </c>
      <c r="O21" s="3"/>
      <c r="P21" s="3"/>
      <c r="Q21" s="3"/>
      <c r="R21" s="3"/>
      <c r="S21" s="3"/>
      <c r="T21" s="3"/>
      <c r="U21" s="3"/>
    </row>
    <row r="22" spans="1:21">
      <c r="A22" s="39"/>
      <c r="B22" s="40">
        <v>25355</v>
      </c>
      <c r="C22" s="40">
        <v>38467</v>
      </c>
      <c r="D22" s="40">
        <v>3352</v>
      </c>
      <c r="E22" s="40">
        <v>2581</v>
      </c>
      <c r="F22" s="40">
        <v>566</v>
      </c>
      <c r="G22" s="38">
        <v>2188</v>
      </c>
      <c r="H22" s="38"/>
      <c r="I22" s="38"/>
      <c r="J22" s="38"/>
      <c r="K22" s="40"/>
      <c r="L22" s="38"/>
      <c r="M22" s="38"/>
      <c r="N22" s="3"/>
      <c r="O22" s="3"/>
      <c r="P22" s="3"/>
      <c r="Q22" s="3"/>
      <c r="R22" s="3"/>
      <c r="S22" s="3"/>
      <c r="T22" s="3"/>
      <c r="U22" s="3"/>
    </row>
    <row r="23" spans="1:21">
      <c r="A23" s="3"/>
      <c r="B23" s="3"/>
      <c r="C23" s="3"/>
      <c r="D23" s="3"/>
      <c r="E23" s="3"/>
      <c r="F23" s="3"/>
      <c r="G23" s="3"/>
      <c r="H23" s="3"/>
      <c r="I23" s="3"/>
      <c r="J23" s="3"/>
      <c r="K23" s="9"/>
      <c r="L23" s="9"/>
      <c r="M23" s="9"/>
      <c r="N23" s="3"/>
      <c r="O23" s="3"/>
      <c r="P23" s="3"/>
      <c r="Q23" s="3"/>
      <c r="R23" s="3"/>
      <c r="S23" s="3"/>
      <c r="T23" s="3"/>
      <c r="U23" s="3"/>
    </row>
    <row r="24" spans="1:21">
      <c r="A24" s="7" t="s">
        <v>18</v>
      </c>
      <c r="B24" s="8" t="s">
        <v>204</v>
      </c>
      <c r="C24" s="8" t="s">
        <v>692</v>
      </c>
      <c r="D24" s="8" t="s">
        <v>692</v>
      </c>
      <c r="E24" s="8" t="s">
        <v>692</v>
      </c>
      <c r="F24" s="8" t="s">
        <v>204</v>
      </c>
      <c r="G24" s="8"/>
      <c r="H24" s="8" t="s">
        <v>204</v>
      </c>
      <c r="I24" s="8"/>
      <c r="J24" s="8"/>
      <c r="K24" s="10"/>
      <c r="L24" s="10">
        <v>8426</v>
      </c>
      <c r="M24" s="8" t="s">
        <v>693</v>
      </c>
      <c r="N24" s="9">
        <f>SUM(B24:L25)</f>
        <v>87338</v>
      </c>
      <c r="O24" s="3"/>
      <c r="P24" s="3"/>
      <c r="Q24" s="3"/>
      <c r="R24" s="3"/>
      <c r="S24" s="3"/>
      <c r="T24" s="3"/>
      <c r="U24" s="3"/>
    </row>
    <row r="25" spans="1:21">
      <c r="A25" s="3"/>
      <c r="B25" s="10">
        <v>28311</v>
      </c>
      <c r="C25" s="10">
        <v>42650</v>
      </c>
      <c r="D25" s="10">
        <v>3361</v>
      </c>
      <c r="E25" s="10">
        <v>2955</v>
      </c>
      <c r="F25" s="10">
        <v>584</v>
      </c>
      <c r="G25" s="10"/>
      <c r="H25" s="10">
        <v>1051</v>
      </c>
      <c r="I25" s="10"/>
      <c r="J25" s="10"/>
      <c r="K25" s="10"/>
      <c r="L25" s="9"/>
      <c r="M25" s="11"/>
      <c r="N25" s="3"/>
      <c r="O25" s="3"/>
      <c r="P25" s="3"/>
      <c r="Q25" s="3"/>
      <c r="R25" s="3"/>
      <c r="S25" s="3"/>
      <c r="T25" s="3"/>
      <c r="U25" s="3"/>
    </row>
    <row r="26" spans="1:2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9"/>
      <c r="M26" s="9"/>
      <c r="N26" s="3"/>
      <c r="O26" s="3"/>
      <c r="P26" s="3"/>
      <c r="Q26" s="3"/>
      <c r="R26" s="3"/>
      <c r="S26" s="3"/>
      <c r="T26" s="3"/>
      <c r="U26" s="3"/>
    </row>
    <row r="27" spans="1:21">
      <c r="A27" s="36" t="s">
        <v>21</v>
      </c>
      <c r="B27" s="37" t="s">
        <v>836</v>
      </c>
      <c r="C27" s="37" t="s">
        <v>455</v>
      </c>
      <c r="D27" s="37" t="s">
        <v>455</v>
      </c>
      <c r="E27" s="37" t="s">
        <v>455</v>
      </c>
      <c r="F27" s="37" t="s">
        <v>836</v>
      </c>
      <c r="G27" s="37"/>
      <c r="H27" s="37"/>
      <c r="I27" s="37"/>
      <c r="J27" s="37"/>
      <c r="K27" s="37"/>
      <c r="L27" s="40">
        <v>9176</v>
      </c>
      <c r="M27" s="37" t="s">
        <v>457</v>
      </c>
      <c r="N27" s="9">
        <f>SUM(B27:L28)</f>
        <v>83445</v>
      </c>
      <c r="O27" s="3"/>
      <c r="P27" s="3"/>
      <c r="Q27" s="3"/>
      <c r="R27" s="3"/>
      <c r="S27" s="3"/>
      <c r="T27" s="3"/>
      <c r="U27" s="3"/>
    </row>
    <row r="28" spans="1:21">
      <c r="A28" s="39"/>
      <c r="B28" s="40">
        <v>23395</v>
      </c>
      <c r="C28" s="40">
        <v>43434</v>
      </c>
      <c r="D28" s="40">
        <v>3729</v>
      </c>
      <c r="E28" s="40">
        <v>3275</v>
      </c>
      <c r="F28" s="40">
        <v>436</v>
      </c>
      <c r="G28" s="38"/>
      <c r="H28" s="38"/>
      <c r="I28" s="38"/>
      <c r="J28" s="38"/>
      <c r="K28" s="40"/>
      <c r="L28" s="38"/>
      <c r="M28" s="41"/>
      <c r="N28" s="3"/>
      <c r="O28" s="3"/>
      <c r="P28" s="3"/>
      <c r="Q28" s="3"/>
      <c r="R28" s="3"/>
      <c r="S28" s="3"/>
      <c r="T28" s="3"/>
      <c r="U28" s="3"/>
    </row>
    <row r="29" spans="1:21">
      <c r="A29" s="3"/>
      <c r="B29" s="3"/>
      <c r="C29" s="3"/>
      <c r="D29" s="3"/>
      <c r="E29" s="3"/>
      <c r="F29" s="3"/>
      <c r="G29" s="3"/>
      <c r="H29" s="3"/>
      <c r="I29" s="3"/>
      <c r="J29" s="3"/>
      <c r="K29" s="9"/>
      <c r="L29" s="9"/>
      <c r="M29" s="9"/>
      <c r="N29" s="3"/>
      <c r="O29" s="3"/>
      <c r="P29" s="3"/>
      <c r="Q29" s="3"/>
      <c r="R29" s="3"/>
      <c r="S29" s="3"/>
      <c r="T29" s="3"/>
      <c r="U29" s="3"/>
    </row>
    <row r="30" spans="1:21">
      <c r="A30" s="7" t="s">
        <v>23</v>
      </c>
      <c r="B30" s="8" t="s">
        <v>837</v>
      </c>
      <c r="C30" s="8" t="s">
        <v>378</v>
      </c>
      <c r="D30" s="8" t="s">
        <v>378</v>
      </c>
      <c r="E30" s="8" t="s">
        <v>379</v>
      </c>
      <c r="F30" s="8" t="s">
        <v>838</v>
      </c>
      <c r="G30" s="8" t="s">
        <v>839</v>
      </c>
      <c r="H30" s="8"/>
      <c r="I30" s="8"/>
      <c r="J30" s="8"/>
      <c r="K30" s="8"/>
      <c r="L30" s="10">
        <v>7814</v>
      </c>
      <c r="M30" s="8" t="s">
        <v>381</v>
      </c>
      <c r="N30" s="9">
        <f>SUM(B30:L31)</f>
        <v>91863</v>
      </c>
      <c r="O30" s="3"/>
      <c r="P30" s="3"/>
      <c r="Q30" s="3"/>
      <c r="R30" s="3"/>
      <c r="S30" s="3"/>
      <c r="T30" s="3"/>
      <c r="U30" s="3"/>
    </row>
    <row r="31" spans="1:21">
      <c r="A31" s="3"/>
      <c r="B31" s="10">
        <v>24958</v>
      </c>
      <c r="C31" s="10">
        <v>50478</v>
      </c>
      <c r="D31" s="10">
        <v>3182</v>
      </c>
      <c r="E31" s="10">
        <v>3287</v>
      </c>
      <c r="F31" s="10">
        <v>362</v>
      </c>
      <c r="G31" s="10">
        <v>1782</v>
      </c>
      <c r="H31" s="10"/>
      <c r="I31" s="10"/>
      <c r="J31" s="10"/>
      <c r="K31" s="10"/>
      <c r="L31" s="9"/>
      <c r="M31" s="11"/>
      <c r="N31" s="3"/>
      <c r="O31" s="3"/>
      <c r="P31" s="3"/>
      <c r="Q31" s="3"/>
      <c r="R31" s="3"/>
      <c r="S31" s="3"/>
      <c r="T31" s="3"/>
      <c r="U31" s="3"/>
    </row>
    <row r="32" spans="1:2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9"/>
      <c r="N32" s="3"/>
      <c r="O32" s="3"/>
      <c r="P32" s="3"/>
      <c r="Q32" s="3"/>
      <c r="R32" s="3"/>
      <c r="S32" s="3"/>
      <c r="T32" s="3"/>
      <c r="U32" s="3"/>
    </row>
    <row r="33" spans="1:21">
      <c r="A33" s="36" t="s">
        <v>24</v>
      </c>
      <c r="B33" s="37" t="s">
        <v>462</v>
      </c>
      <c r="C33" s="39"/>
      <c r="D33" s="37"/>
      <c r="E33" s="37" t="s">
        <v>462</v>
      </c>
      <c r="F33" s="37" t="s">
        <v>462</v>
      </c>
      <c r="G33" s="37"/>
      <c r="H33" s="37" t="s">
        <v>462</v>
      </c>
      <c r="I33" s="37"/>
      <c r="J33" s="37"/>
      <c r="K33" s="37"/>
      <c r="L33" s="40">
        <v>21432</v>
      </c>
      <c r="M33" s="37" t="s">
        <v>768</v>
      </c>
      <c r="N33" s="9">
        <f>SUM(B33:L34)</f>
        <v>58161</v>
      </c>
      <c r="O33" s="3"/>
      <c r="P33" s="3"/>
      <c r="Q33" s="3"/>
      <c r="R33" s="3"/>
      <c r="S33" s="3"/>
      <c r="T33" s="3"/>
      <c r="U33" s="3"/>
    </row>
    <row r="34" spans="1:21">
      <c r="A34" s="39"/>
      <c r="B34" s="40">
        <v>34200</v>
      </c>
      <c r="C34" s="39"/>
      <c r="D34" s="40"/>
      <c r="E34" s="40">
        <v>794</v>
      </c>
      <c r="F34" s="40">
        <v>421</v>
      </c>
      <c r="G34" s="38"/>
      <c r="H34" s="38">
        <v>1314</v>
      </c>
      <c r="I34" s="38"/>
      <c r="J34" s="38"/>
      <c r="K34" s="40"/>
      <c r="L34" s="38"/>
      <c r="M34" s="41"/>
      <c r="N34" s="3"/>
      <c r="O34" s="3"/>
      <c r="P34" s="3"/>
      <c r="Q34" s="3"/>
      <c r="R34" s="3"/>
      <c r="S34" s="3"/>
      <c r="T34" s="3"/>
      <c r="U34" s="3"/>
    </row>
    <row r="35" spans="1:2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9"/>
      <c r="M35" s="9"/>
      <c r="N35" s="3"/>
      <c r="O35" s="3"/>
      <c r="P35" s="3"/>
      <c r="Q35" s="3"/>
      <c r="R35" s="3"/>
      <c r="S35" s="3"/>
      <c r="T35" s="3"/>
      <c r="U35" s="3"/>
    </row>
    <row r="36" spans="1:21">
      <c r="A36" s="3" t="s">
        <v>26</v>
      </c>
      <c r="B36" s="10"/>
      <c r="C36" s="10" t="s">
        <v>528</v>
      </c>
      <c r="D36" s="10" t="s">
        <v>528</v>
      </c>
      <c r="E36" s="10" t="s">
        <v>528</v>
      </c>
      <c r="F36" s="10"/>
      <c r="G36" s="10"/>
      <c r="H36" s="10"/>
      <c r="I36" s="10"/>
      <c r="J36" s="10"/>
      <c r="K36" s="10"/>
      <c r="L36" s="9">
        <v>28005</v>
      </c>
      <c r="M36" s="8" t="s">
        <v>614</v>
      </c>
      <c r="N36" s="9">
        <f>SUM(B36:L37)</f>
        <v>61310</v>
      </c>
      <c r="O36" s="3"/>
      <c r="P36" s="3"/>
      <c r="Q36" s="3"/>
      <c r="R36" s="3"/>
      <c r="S36" s="3"/>
      <c r="T36" s="3"/>
      <c r="U36" s="3"/>
    </row>
    <row r="37" spans="1:21">
      <c r="A37" s="7"/>
      <c r="B37" s="11"/>
      <c r="C37" s="10">
        <v>27007</v>
      </c>
      <c r="D37" s="10">
        <v>2766</v>
      </c>
      <c r="E37" s="10">
        <v>3532</v>
      </c>
      <c r="F37" s="11"/>
      <c r="G37" s="11"/>
      <c r="H37" s="11"/>
      <c r="I37" s="11"/>
      <c r="J37" s="11"/>
      <c r="K37" s="11"/>
      <c r="L37" s="9"/>
      <c r="M37" s="11"/>
      <c r="N37" s="3"/>
      <c r="O37" s="3"/>
      <c r="P37" s="3"/>
      <c r="Q37" s="3"/>
      <c r="R37" s="3"/>
      <c r="S37" s="3"/>
      <c r="T37" s="3"/>
      <c r="U37" s="3"/>
    </row>
    <row r="38" spans="1:2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9"/>
      <c r="M38" s="9"/>
      <c r="N38" s="3"/>
      <c r="O38" s="3"/>
      <c r="P38" s="3"/>
      <c r="Q38" s="3"/>
      <c r="R38" s="3"/>
      <c r="S38" s="3"/>
      <c r="T38" s="3"/>
      <c r="U38" s="3"/>
    </row>
    <row r="39" spans="1:21">
      <c r="A39" s="39" t="s">
        <v>28</v>
      </c>
      <c r="B39" s="40" t="s">
        <v>615</v>
      </c>
      <c r="C39" s="40" t="s">
        <v>840</v>
      </c>
      <c r="D39" s="40"/>
      <c r="E39" s="40"/>
      <c r="F39" s="40"/>
      <c r="G39" s="40"/>
      <c r="H39" s="40"/>
      <c r="I39" s="40" t="s">
        <v>893</v>
      </c>
      <c r="J39" s="40"/>
      <c r="K39" s="40"/>
      <c r="L39" s="38">
        <v>12071</v>
      </c>
      <c r="M39" s="37" t="s">
        <v>617</v>
      </c>
      <c r="N39" s="9">
        <f>SUM(B39:L40)</f>
        <v>41900</v>
      </c>
      <c r="O39" s="3"/>
      <c r="P39" s="3"/>
      <c r="Q39" s="3"/>
      <c r="R39" s="3"/>
      <c r="S39" s="3"/>
      <c r="T39" s="3"/>
      <c r="U39" s="3"/>
    </row>
    <row r="40" spans="1:21">
      <c r="A40" s="36"/>
      <c r="B40" s="40">
        <v>20631</v>
      </c>
      <c r="C40" s="38">
        <v>7813</v>
      </c>
      <c r="D40" s="40"/>
      <c r="E40" s="40"/>
      <c r="F40" s="38"/>
      <c r="G40" s="40"/>
      <c r="H40" s="40"/>
      <c r="I40" s="40">
        <v>1385</v>
      </c>
      <c r="J40" s="40"/>
      <c r="K40" s="40"/>
      <c r="L40" s="38"/>
      <c r="M40" s="41"/>
      <c r="N40" s="3"/>
      <c r="O40" s="3"/>
      <c r="P40" s="3"/>
      <c r="Q40" s="3"/>
      <c r="R40" s="3"/>
      <c r="S40" s="3"/>
      <c r="T40" s="3"/>
      <c r="U40" s="3"/>
    </row>
    <row r="41" spans="1:2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9"/>
      <c r="N41" s="3"/>
      <c r="O41" s="3"/>
      <c r="P41" s="3"/>
      <c r="Q41" s="3"/>
      <c r="R41" s="3"/>
      <c r="S41" s="3"/>
      <c r="T41" s="3"/>
      <c r="U41" s="3"/>
    </row>
    <row r="42" spans="1:21">
      <c r="A42" s="3" t="s">
        <v>29</v>
      </c>
      <c r="B42" s="10" t="s">
        <v>698</v>
      </c>
      <c r="C42" s="10" t="s">
        <v>841</v>
      </c>
      <c r="D42" s="10"/>
      <c r="E42" s="10" t="s">
        <v>842</v>
      </c>
      <c r="F42" s="10"/>
      <c r="G42" s="10"/>
      <c r="H42" s="10" t="s">
        <v>842</v>
      </c>
      <c r="I42" s="10"/>
      <c r="J42" s="10"/>
      <c r="K42" s="10"/>
      <c r="L42" s="9">
        <v>10950</v>
      </c>
      <c r="M42" s="8" t="s">
        <v>699</v>
      </c>
      <c r="N42" s="9">
        <f>SUM(B42:L43)</f>
        <v>33980</v>
      </c>
      <c r="O42" s="3"/>
      <c r="P42" s="3"/>
      <c r="Q42" s="3"/>
      <c r="R42" s="3"/>
      <c r="S42" s="3"/>
      <c r="T42" s="3"/>
      <c r="U42" s="3"/>
    </row>
    <row r="43" spans="1:21">
      <c r="A43" s="7"/>
      <c r="B43" s="10">
        <v>17107</v>
      </c>
      <c r="C43" s="9">
        <v>4482</v>
      </c>
      <c r="D43" s="10"/>
      <c r="E43" s="10">
        <v>1026</v>
      </c>
      <c r="F43" s="9"/>
      <c r="G43" s="9"/>
      <c r="H43" s="9">
        <v>415</v>
      </c>
      <c r="I43" s="9"/>
      <c r="J43" s="9"/>
      <c r="K43" s="10"/>
      <c r="L43" s="9"/>
      <c r="M43" s="11"/>
      <c r="N43" s="3"/>
      <c r="O43" s="3"/>
      <c r="P43" s="3"/>
      <c r="Q43" s="3"/>
      <c r="R43" s="3"/>
      <c r="S43" s="3"/>
      <c r="T43" s="3"/>
      <c r="U43" s="3"/>
    </row>
    <row r="44" spans="1:21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9"/>
      <c r="M44" s="11"/>
      <c r="N44" s="3"/>
      <c r="O44" s="3"/>
      <c r="P44" s="3"/>
      <c r="Q44" s="3"/>
      <c r="R44" s="3"/>
      <c r="S44" s="3"/>
      <c r="T44" s="3"/>
      <c r="U44" s="3"/>
    </row>
    <row r="45" spans="1:21">
      <c r="A45" s="39" t="s">
        <v>32</v>
      </c>
      <c r="B45" s="37" t="s">
        <v>462</v>
      </c>
      <c r="C45" s="37" t="s">
        <v>462</v>
      </c>
      <c r="D45" s="37" t="s">
        <v>462</v>
      </c>
      <c r="E45" s="37"/>
      <c r="F45" s="40"/>
      <c r="G45" s="37"/>
      <c r="H45" s="37" t="s">
        <v>462</v>
      </c>
      <c r="I45" s="37"/>
      <c r="J45" s="37"/>
      <c r="K45" s="37"/>
      <c r="L45" s="38">
        <v>16589</v>
      </c>
      <c r="M45" s="40" t="s">
        <v>463</v>
      </c>
      <c r="N45" s="9">
        <f>SUM(B45:L46)</f>
        <v>59208</v>
      </c>
      <c r="O45" s="3"/>
      <c r="P45" s="3"/>
      <c r="Q45" s="3"/>
      <c r="R45" s="3"/>
      <c r="S45" s="3"/>
      <c r="T45" s="3"/>
      <c r="U45" s="3"/>
    </row>
    <row r="46" spans="1:21">
      <c r="A46" s="39"/>
      <c r="B46" s="40">
        <v>34401</v>
      </c>
      <c r="C46" s="38">
        <v>5872</v>
      </c>
      <c r="D46" s="40">
        <v>910</v>
      </c>
      <c r="E46" s="40"/>
      <c r="F46" s="38"/>
      <c r="G46" s="38"/>
      <c r="H46" s="38">
        <v>1436</v>
      </c>
      <c r="I46" s="38"/>
      <c r="J46" s="38"/>
      <c r="K46" s="38"/>
      <c r="L46" s="38"/>
      <c r="M46" s="41"/>
      <c r="N46" s="3"/>
      <c r="O46" s="3"/>
      <c r="P46" s="3"/>
      <c r="Q46" s="3"/>
      <c r="R46" s="3"/>
      <c r="S46" s="3"/>
      <c r="T46" s="3"/>
      <c r="U46" s="3"/>
    </row>
    <row r="47" spans="1:21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9"/>
      <c r="M47" s="11"/>
      <c r="N47" s="3"/>
      <c r="O47" s="3"/>
      <c r="P47" s="3"/>
      <c r="Q47" s="3"/>
      <c r="R47" s="3"/>
      <c r="S47" s="3"/>
      <c r="T47" s="3"/>
      <c r="U47" s="3"/>
    </row>
    <row r="48" spans="1:21">
      <c r="A48" s="3" t="s">
        <v>33</v>
      </c>
      <c r="B48" s="8"/>
      <c r="C48" s="8" t="s">
        <v>620</v>
      </c>
      <c r="D48" s="8" t="s">
        <v>620</v>
      </c>
      <c r="E48" s="8" t="s">
        <v>621</v>
      </c>
      <c r="F48" s="8"/>
      <c r="G48" s="8"/>
      <c r="H48" s="8" t="s">
        <v>895</v>
      </c>
      <c r="I48" s="8" t="s">
        <v>894</v>
      </c>
      <c r="J48" s="8"/>
      <c r="K48" s="10"/>
      <c r="L48" s="9">
        <v>18804</v>
      </c>
      <c r="M48" s="10" t="s">
        <v>701</v>
      </c>
      <c r="N48" s="9">
        <f>SUM(B48:L49)</f>
        <v>43866</v>
      </c>
      <c r="O48" s="3"/>
      <c r="P48" s="3"/>
      <c r="Q48" s="3"/>
      <c r="R48" s="3"/>
      <c r="S48" s="3"/>
      <c r="T48" s="3"/>
      <c r="U48" s="3"/>
    </row>
    <row r="49" spans="1:21">
      <c r="A49" s="3"/>
      <c r="B49" s="9"/>
      <c r="C49" s="9">
        <v>19261</v>
      </c>
      <c r="D49" s="10">
        <v>2388</v>
      </c>
      <c r="E49" s="10">
        <v>1939</v>
      </c>
      <c r="F49" s="9"/>
      <c r="G49" s="9"/>
      <c r="H49" s="9">
        <v>595</v>
      </c>
      <c r="I49" s="9">
        <v>879</v>
      </c>
      <c r="J49" s="9"/>
      <c r="K49" s="10"/>
      <c r="L49" s="9"/>
      <c r="M49" s="11"/>
      <c r="N49" s="3"/>
      <c r="O49" s="3"/>
      <c r="P49" s="3"/>
      <c r="Q49" s="3"/>
      <c r="R49" s="3"/>
      <c r="S49" s="3"/>
      <c r="T49" s="3"/>
      <c r="U49" s="3"/>
    </row>
    <row r="50" spans="1:2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11"/>
      <c r="N50" s="3"/>
      <c r="O50" s="3"/>
      <c r="P50" s="3"/>
      <c r="Q50" s="3"/>
      <c r="R50" s="3"/>
      <c r="S50" s="3"/>
      <c r="T50" s="3"/>
      <c r="U50" s="3"/>
    </row>
    <row r="51" spans="1:21">
      <c r="A51" s="36" t="s">
        <v>35</v>
      </c>
      <c r="B51" s="37" t="s">
        <v>36</v>
      </c>
      <c r="C51" s="37"/>
      <c r="D51" s="37" t="s">
        <v>843</v>
      </c>
      <c r="E51" s="37" t="s">
        <v>844</v>
      </c>
      <c r="F51" s="37" t="s">
        <v>844</v>
      </c>
      <c r="G51" s="37"/>
      <c r="H51" s="37" t="s">
        <v>120</v>
      </c>
      <c r="I51" s="37"/>
      <c r="J51" s="37"/>
      <c r="K51" s="37"/>
      <c r="L51" s="38">
        <v>22942</v>
      </c>
      <c r="M51" s="37" t="s">
        <v>77</v>
      </c>
      <c r="N51" s="9">
        <f>SUM(B51:L52)</f>
        <v>57331</v>
      </c>
      <c r="O51" s="3"/>
      <c r="P51" s="3"/>
      <c r="Q51" s="3"/>
      <c r="R51" s="3"/>
      <c r="S51" s="3"/>
      <c r="T51" s="3"/>
      <c r="U51" s="3"/>
    </row>
    <row r="52" spans="1:21">
      <c r="A52" s="39"/>
      <c r="B52" s="40">
        <v>28005</v>
      </c>
      <c r="C52" s="38"/>
      <c r="D52" s="38">
        <v>1545</v>
      </c>
      <c r="E52" s="38">
        <v>3081</v>
      </c>
      <c r="F52" s="38">
        <v>927</v>
      </c>
      <c r="G52" s="38"/>
      <c r="H52" s="38">
        <v>831</v>
      </c>
      <c r="I52" s="38"/>
      <c r="J52" s="38"/>
      <c r="K52" s="40"/>
      <c r="L52" s="38"/>
      <c r="M52" s="38"/>
      <c r="N52" s="3"/>
      <c r="O52" s="3"/>
      <c r="P52" s="3"/>
      <c r="Q52" s="3"/>
      <c r="R52" s="3"/>
      <c r="S52" s="3"/>
      <c r="T52" s="3"/>
      <c r="U52" s="3"/>
    </row>
    <row r="53" spans="1:2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9"/>
      <c r="M53" s="11"/>
      <c r="N53" s="3"/>
      <c r="O53" s="3"/>
      <c r="P53" s="3"/>
      <c r="Q53" s="3"/>
      <c r="R53" s="3"/>
      <c r="S53" s="3"/>
      <c r="T53" s="3"/>
      <c r="U53" s="3"/>
    </row>
    <row r="54" spans="1:21">
      <c r="A54" s="7" t="s">
        <v>38</v>
      </c>
      <c r="B54" s="8" t="s">
        <v>702</v>
      </c>
      <c r="C54" s="8" t="s">
        <v>845</v>
      </c>
      <c r="D54" s="8"/>
      <c r="E54" s="8"/>
      <c r="F54" s="8" t="s">
        <v>846</v>
      </c>
      <c r="G54" s="8"/>
      <c r="H54" s="8" t="s">
        <v>845</v>
      </c>
      <c r="I54" s="8"/>
      <c r="J54" s="8"/>
      <c r="K54" s="8"/>
      <c r="L54" s="9">
        <v>10282</v>
      </c>
      <c r="M54" s="8" t="s">
        <v>770</v>
      </c>
      <c r="N54" s="9">
        <f>SUM(B54:L55)</f>
        <v>39047</v>
      </c>
      <c r="O54" s="3"/>
      <c r="P54" s="3"/>
      <c r="Q54" s="3"/>
      <c r="R54" s="3"/>
      <c r="S54" s="3"/>
      <c r="T54" s="3"/>
      <c r="U54" s="3"/>
    </row>
    <row r="55" spans="1:21">
      <c r="A55" s="3"/>
      <c r="B55" s="10">
        <v>19851</v>
      </c>
      <c r="C55" s="9">
        <v>6648</v>
      </c>
      <c r="D55" s="10"/>
      <c r="E55" s="10"/>
      <c r="F55" s="9">
        <v>1056</v>
      </c>
      <c r="G55" s="11"/>
      <c r="H55" s="11">
        <v>1210</v>
      </c>
      <c r="I55" s="11"/>
      <c r="J55" s="11"/>
      <c r="K55" s="11"/>
      <c r="L55" s="9"/>
      <c r="M55" s="9"/>
      <c r="N55" s="3"/>
      <c r="O55" s="3"/>
      <c r="P55" s="3"/>
      <c r="Q55" s="3"/>
      <c r="R55" s="3"/>
      <c r="S55" s="3"/>
      <c r="T55" s="3"/>
      <c r="U55" s="3"/>
    </row>
    <row r="56" spans="1:2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9"/>
      <c r="M56" s="11"/>
      <c r="N56" s="3"/>
      <c r="O56" s="3"/>
      <c r="P56" s="3"/>
      <c r="Q56" s="3"/>
      <c r="R56" s="3"/>
      <c r="S56" s="3"/>
      <c r="T56" s="3"/>
      <c r="U56" s="3"/>
    </row>
    <row r="57" spans="1:21">
      <c r="A57" s="36" t="s">
        <v>41</v>
      </c>
      <c r="B57" s="37" t="s">
        <v>534</v>
      </c>
      <c r="C57" s="37"/>
      <c r="D57" s="37"/>
      <c r="E57" s="37"/>
      <c r="F57" s="37"/>
      <c r="G57" s="37"/>
      <c r="H57" s="37" t="s">
        <v>121</v>
      </c>
      <c r="I57" s="37"/>
      <c r="J57" s="37"/>
      <c r="K57" s="37"/>
      <c r="L57" s="38">
        <v>18947</v>
      </c>
      <c r="M57" s="37" t="s">
        <v>42</v>
      </c>
      <c r="N57" s="9">
        <f>SUM(B57:L58)</f>
        <v>60057</v>
      </c>
      <c r="O57" s="3"/>
      <c r="P57" s="3"/>
      <c r="Q57" s="3"/>
      <c r="R57" s="3"/>
      <c r="S57" s="3"/>
      <c r="T57" s="3"/>
      <c r="U57" s="3"/>
    </row>
    <row r="58" spans="1:21">
      <c r="A58" s="39"/>
      <c r="B58" s="40">
        <v>36591</v>
      </c>
      <c r="C58" s="40"/>
      <c r="D58" s="38"/>
      <c r="E58" s="38"/>
      <c r="F58" s="40"/>
      <c r="G58" s="38"/>
      <c r="H58" s="38">
        <v>4519</v>
      </c>
      <c r="I58" s="38"/>
      <c r="J58" s="38"/>
      <c r="K58" s="40"/>
      <c r="L58" s="40"/>
      <c r="M58" s="38"/>
      <c r="N58" s="3"/>
      <c r="O58" s="3"/>
      <c r="P58" s="3"/>
      <c r="Q58" s="3"/>
      <c r="R58" s="3"/>
      <c r="S58" s="3"/>
      <c r="T58" s="3"/>
      <c r="U58" s="3"/>
    </row>
    <row r="59" spans="1:2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9"/>
      <c r="M59" s="9"/>
      <c r="N59" s="3"/>
      <c r="O59" s="3"/>
      <c r="P59" s="3"/>
      <c r="Q59" s="3"/>
      <c r="R59" s="3"/>
      <c r="S59" s="3"/>
      <c r="T59" s="3"/>
      <c r="U59" s="3"/>
    </row>
    <row r="60" spans="1:21">
      <c r="A60" s="3" t="s">
        <v>45</v>
      </c>
      <c r="B60" s="10" t="s">
        <v>385</v>
      </c>
      <c r="C60" s="10" t="s">
        <v>847</v>
      </c>
      <c r="D60" s="10" t="s">
        <v>847</v>
      </c>
      <c r="E60" s="10" t="s">
        <v>847</v>
      </c>
      <c r="F60" s="10"/>
      <c r="G60" s="10"/>
      <c r="H60" s="10"/>
      <c r="I60" s="10"/>
      <c r="J60" s="10"/>
      <c r="K60" s="10"/>
      <c r="L60" s="9">
        <v>16708</v>
      </c>
      <c r="M60" s="8" t="s">
        <v>388</v>
      </c>
      <c r="N60" s="9">
        <f>SUM(B60:L61)</f>
        <v>52503</v>
      </c>
      <c r="O60" s="3"/>
      <c r="P60" s="3"/>
      <c r="Q60" s="3"/>
      <c r="R60" s="3"/>
      <c r="S60" s="3"/>
      <c r="T60" s="3"/>
      <c r="U60" s="3"/>
    </row>
    <row r="61" spans="1:21">
      <c r="A61" s="7"/>
      <c r="B61" s="10">
        <v>31657</v>
      </c>
      <c r="C61" s="9">
        <v>2956</v>
      </c>
      <c r="D61" s="10">
        <v>384</v>
      </c>
      <c r="E61" s="10">
        <v>798</v>
      </c>
      <c r="F61" s="10"/>
      <c r="G61" s="9"/>
      <c r="H61" s="9"/>
      <c r="I61" s="9"/>
      <c r="J61" s="9"/>
      <c r="K61" s="11"/>
      <c r="L61" s="9"/>
      <c r="M61" s="11"/>
      <c r="N61" s="3"/>
      <c r="O61" s="3"/>
      <c r="P61" s="3"/>
      <c r="Q61" s="3"/>
      <c r="R61" s="3"/>
      <c r="S61" s="3"/>
      <c r="T61" s="3"/>
      <c r="U61" s="3"/>
    </row>
    <row r="62" spans="1:21">
      <c r="A62" s="3"/>
      <c r="B62" s="3"/>
      <c r="C62" s="3"/>
      <c r="D62" s="3"/>
      <c r="E62" s="3"/>
      <c r="F62" s="3"/>
      <c r="G62" s="3"/>
      <c r="H62" s="3"/>
      <c r="I62" s="3"/>
      <c r="J62" s="3"/>
      <c r="K62" s="9"/>
      <c r="L62" s="9"/>
      <c r="M62" s="9"/>
      <c r="N62" s="3"/>
      <c r="O62" s="3"/>
      <c r="P62" s="3"/>
      <c r="Q62" s="3"/>
      <c r="R62" s="3"/>
      <c r="S62" s="3"/>
      <c r="T62" s="3"/>
      <c r="U62" s="3"/>
    </row>
    <row r="63" spans="1:21">
      <c r="A63" s="39" t="s">
        <v>47</v>
      </c>
      <c r="B63" s="40" t="s">
        <v>492</v>
      </c>
      <c r="C63" s="40" t="s">
        <v>707</v>
      </c>
      <c r="D63" s="40" t="s">
        <v>707</v>
      </c>
      <c r="E63" s="40" t="s">
        <v>492</v>
      </c>
      <c r="F63" s="40" t="s">
        <v>492</v>
      </c>
      <c r="G63" s="40"/>
      <c r="H63" s="40" t="s">
        <v>492</v>
      </c>
      <c r="I63" s="40"/>
      <c r="J63" s="40"/>
      <c r="K63" s="40"/>
      <c r="L63" s="38">
        <v>15735</v>
      </c>
      <c r="M63" s="37" t="s">
        <v>773</v>
      </c>
      <c r="N63" s="9">
        <f>SUM(B63:L64)</f>
        <v>57676</v>
      </c>
      <c r="O63" s="3"/>
      <c r="P63" s="3"/>
      <c r="Q63" s="3"/>
      <c r="R63" s="3"/>
      <c r="S63" s="3"/>
      <c r="T63" s="3"/>
      <c r="U63" s="3"/>
    </row>
    <row r="64" spans="1:21">
      <c r="A64" s="36"/>
      <c r="B64" s="40">
        <v>32552</v>
      </c>
      <c r="C64" s="40">
        <v>3387</v>
      </c>
      <c r="D64" s="40">
        <v>442</v>
      </c>
      <c r="E64" s="40">
        <v>646</v>
      </c>
      <c r="F64" s="38">
        <v>494</v>
      </c>
      <c r="G64" s="38"/>
      <c r="H64" s="38">
        <v>4420</v>
      </c>
      <c r="I64" s="38"/>
      <c r="J64" s="38"/>
      <c r="K64" s="40"/>
      <c r="L64" s="38"/>
      <c r="M64" s="41"/>
      <c r="N64" s="3"/>
      <c r="O64" s="3"/>
      <c r="P64" s="3"/>
      <c r="Q64" s="3"/>
      <c r="R64" s="3"/>
      <c r="S64" s="3"/>
      <c r="T64" s="3"/>
      <c r="U64" s="3"/>
    </row>
    <row r="65" spans="1:21">
      <c r="A65" s="3"/>
      <c r="B65" s="3"/>
      <c r="C65" s="3"/>
      <c r="D65" s="3"/>
      <c r="E65" s="3"/>
      <c r="F65" s="3"/>
      <c r="G65" s="3"/>
      <c r="H65" s="3"/>
      <c r="I65" s="3"/>
      <c r="J65" s="3"/>
      <c r="K65" s="11"/>
      <c r="L65" s="9"/>
      <c r="M65" s="9"/>
      <c r="N65" s="3"/>
      <c r="O65" s="3"/>
      <c r="P65" s="3"/>
      <c r="Q65" s="3"/>
      <c r="R65" s="3"/>
      <c r="S65" s="3"/>
      <c r="T65" s="3"/>
      <c r="U65" s="3"/>
    </row>
    <row r="66" spans="1:21">
      <c r="A66" s="3" t="s">
        <v>49</v>
      </c>
      <c r="B66" s="10" t="s">
        <v>83</v>
      </c>
      <c r="C66" s="10" t="s">
        <v>848</v>
      </c>
      <c r="D66" s="10" t="s">
        <v>849</v>
      </c>
      <c r="E66" s="10" t="s">
        <v>848</v>
      </c>
      <c r="F66" s="10" t="s">
        <v>850</v>
      </c>
      <c r="G66" s="10"/>
      <c r="H66" s="10" t="s">
        <v>83</v>
      </c>
      <c r="I66" s="10"/>
      <c r="J66" s="10"/>
      <c r="K66" s="10"/>
      <c r="L66" s="9">
        <v>14688</v>
      </c>
      <c r="M66" s="8" t="s">
        <v>84</v>
      </c>
      <c r="N66" s="9">
        <f>SUM(B66:L67)</f>
        <v>50984</v>
      </c>
      <c r="O66" s="3"/>
      <c r="P66" s="3"/>
      <c r="Q66" s="3"/>
      <c r="R66" s="3"/>
      <c r="S66" s="3"/>
      <c r="T66" s="3"/>
      <c r="U66" s="3"/>
    </row>
    <row r="67" spans="1:21">
      <c r="A67" s="7"/>
      <c r="B67" s="10">
        <v>26464</v>
      </c>
      <c r="C67" s="10">
        <v>3502</v>
      </c>
      <c r="D67" s="10">
        <v>3185</v>
      </c>
      <c r="E67" s="10">
        <v>794</v>
      </c>
      <c r="F67" s="10">
        <v>435</v>
      </c>
      <c r="G67" s="9"/>
      <c r="H67" s="9">
        <v>1916</v>
      </c>
      <c r="I67" s="9"/>
      <c r="J67" s="9"/>
      <c r="K67" s="10"/>
      <c r="L67" s="9"/>
      <c r="M67" s="11"/>
      <c r="N67" s="3"/>
      <c r="O67" s="3"/>
      <c r="P67" s="3"/>
      <c r="Q67" s="3"/>
      <c r="R67" s="3"/>
      <c r="S67" s="3"/>
      <c r="T67" s="3"/>
      <c r="U67" s="3"/>
    </row>
    <row r="68" spans="1:21">
      <c r="A68" s="7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11"/>
      <c r="N68" s="3"/>
      <c r="O68" s="3"/>
      <c r="P68" s="3"/>
      <c r="Q68" s="3"/>
      <c r="R68" s="3"/>
      <c r="S68" s="3"/>
      <c r="T68" s="3"/>
      <c r="U68" s="3"/>
    </row>
    <row r="69" spans="1:21">
      <c r="A69" s="39" t="s">
        <v>52</v>
      </c>
      <c r="B69" s="37" t="s">
        <v>851</v>
      </c>
      <c r="C69" s="37" t="s">
        <v>85</v>
      </c>
      <c r="D69" s="37" t="s">
        <v>85</v>
      </c>
      <c r="E69" s="37" t="s">
        <v>851</v>
      </c>
      <c r="F69" s="37"/>
      <c r="G69" s="37"/>
      <c r="H69" s="37" t="s">
        <v>851</v>
      </c>
      <c r="I69" s="37"/>
      <c r="J69" s="37"/>
      <c r="K69" s="37"/>
      <c r="L69" s="38">
        <v>5807</v>
      </c>
      <c r="M69" s="40" t="s">
        <v>313</v>
      </c>
      <c r="N69" s="9">
        <f>SUM(B69:L70)</f>
        <v>51666</v>
      </c>
      <c r="O69" s="3"/>
      <c r="P69" s="3"/>
      <c r="Q69" s="3"/>
      <c r="R69" s="3"/>
      <c r="S69" s="3"/>
      <c r="T69" s="3"/>
      <c r="U69" s="3"/>
    </row>
    <row r="70" spans="1:21">
      <c r="A70" s="39"/>
      <c r="B70" s="40">
        <v>18764</v>
      </c>
      <c r="C70" s="40">
        <v>22481</v>
      </c>
      <c r="D70" s="40">
        <v>2583</v>
      </c>
      <c r="E70" s="40">
        <v>1373</v>
      </c>
      <c r="F70" s="40"/>
      <c r="G70" s="38"/>
      <c r="H70" s="38">
        <v>658</v>
      </c>
      <c r="I70" s="38"/>
      <c r="J70" s="38"/>
      <c r="K70" s="38"/>
      <c r="L70" s="38"/>
      <c r="M70" s="41"/>
      <c r="N70" s="3"/>
      <c r="O70" s="3"/>
      <c r="P70" s="3"/>
      <c r="Q70" s="3"/>
      <c r="R70" s="3"/>
      <c r="S70" s="3"/>
      <c r="T70" s="3"/>
      <c r="U70" s="3"/>
    </row>
    <row r="71" spans="1:2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9"/>
      <c r="M71" s="11"/>
      <c r="N71" s="3"/>
      <c r="O71" s="3"/>
      <c r="P71" s="3"/>
      <c r="Q71" s="3"/>
      <c r="R71" s="3"/>
      <c r="S71" s="3"/>
      <c r="T71" s="3"/>
      <c r="U71" s="3"/>
    </row>
    <row r="72" spans="1:21">
      <c r="A72" s="7" t="s">
        <v>54</v>
      </c>
      <c r="B72" s="8" t="s">
        <v>852</v>
      </c>
      <c r="C72" s="8" t="s">
        <v>853</v>
      </c>
      <c r="D72" s="8" t="s">
        <v>852</v>
      </c>
      <c r="E72" s="8" t="s">
        <v>853</v>
      </c>
      <c r="F72" s="8" t="s">
        <v>853</v>
      </c>
      <c r="G72" s="8"/>
      <c r="H72" s="8" t="s">
        <v>852</v>
      </c>
      <c r="I72" s="8"/>
      <c r="J72" s="8"/>
      <c r="K72" s="8"/>
      <c r="L72" s="9">
        <v>11337</v>
      </c>
      <c r="M72" s="8" t="s">
        <v>854</v>
      </c>
      <c r="N72" s="9">
        <f>SUM(B72:L73)</f>
        <v>43675</v>
      </c>
      <c r="O72" s="3"/>
      <c r="P72" s="3"/>
      <c r="Q72" s="3"/>
      <c r="R72" s="3"/>
      <c r="S72" s="3"/>
      <c r="T72" s="3"/>
      <c r="U72" s="3"/>
    </row>
    <row r="73" spans="1:21">
      <c r="A73" s="3"/>
      <c r="B73" s="10">
        <v>18897</v>
      </c>
      <c r="C73" s="10">
        <v>9660</v>
      </c>
      <c r="D73" s="10">
        <v>1231</v>
      </c>
      <c r="E73" s="10">
        <v>1286</v>
      </c>
      <c r="F73" s="9">
        <v>529</v>
      </c>
      <c r="G73" s="9"/>
      <c r="H73" s="9">
        <v>735</v>
      </c>
      <c r="I73" s="9"/>
      <c r="J73" s="9"/>
      <c r="K73" s="9"/>
      <c r="L73" s="9"/>
      <c r="M73" s="9"/>
      <c r="N73" s="3"/>
      <c r="O73" s="3"/>
      <c r="P73" s="3"/>
      <c r="Q73" s="3"/>
      <c r="R73" s="3"/>
      <c r="S73" s="3"/>
      <c r="T73" s="3"/>
      <c r="U73" s="3"/>
    </row>
    <row r="74" spans="1:2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9"/>
      <c r="M74" s="11"/>
      <c r="N74" s="3"/>
      <c r="O74" s="3"/>
      <c r="P74" s="3"/>
      <c r="Q74" s="3"/>
      <c r="R74" s="3"/>
      <c r="S74" s="3"/>
      <c r="T74" s="3"/>
      <c r="U74" s="3"/>
    </row>
    <row r="75" spans="1:21">
      <c r="A75" s="36" t="s">
        <v>56</v>
      </c>
      <c r="B75" s="37" t="s">
        <v>855</v>
      </c>
      <c r="C75" s="37" t="s">
        <v>777</v>
      </c>
      <c r="D75" s="37" t="s">
        <v>776</v>
      </c>
      <c r="E75" s="37"/>
      <c r="F75" s="37"/>
      <c r="G75" s="37"/>
      <c r="H75" s="37" t="s">
        <v>855</v>
      </c>
      <c r="I75" s="37"/>
      <c r="J75" s="37"/>
      <c r="K75" s="37" t="s">
        <v>856</v>
      </c>
      <c r="L75" s="38">
        <v>14245</v>
      </c>
      <c r="M75" s="37" t="s">
        <v>778</v>
      </c>
      <c r="N75" s="9">
        <f>SUM(B75:L76)</f>
        <v>67485</v>
      </c>
      <c r="O75" s="3"/>
      <c r="P75" s="3"/>
      <c r="Q75" s="3"/>
      <c r="R75" s="3"/>
      <c r="S75" s="3"/>
      <c r="T75" s="3"/>
      <c r="U75" s="3"/>
    </row>
    <row r="76" spans="1:21">
      <c r="A76" s="39"/>
      <c r="B76" s="40">
        <v>12784</v>
      </c>
      <c r="C76" s="40">
        <v>34864</v>
      </c>
      <c r="D76" s="40">
        <v>4624</v>
      </c>
      <c r="E76" s="40"/>
      <c r="F76" s="40"/>
      <c r="G76" s="40"/>
      <c r="H76" s="40">
        <v>597</v>
      </c>
      <c r="I76" s="40"/>
      <c r="J76" s="40"/>
      <c r="K76" s="40">
        <v>371</v>
      </c>
      <c r="L76" s="38"/>
      <c r="M76" s="38"/>
      <c r="N76" s="3"/>
      <c r="O76" s="3"/>
      <c r="P76" s="3"/>
      <c r="Q76" s="3"/>
      <c r="R76" s="3"/>
      <c r="S76" s="3"/>
      <c r="T76" s="3"/>
      <c r="U76" s="3"/>
    </row>
    <row r="77" spans="1:2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>
      <c r="A78" s="7" t="s">
        <v>58</v>
      </c>
      <c r="B78" s="8" t="s">
        <v>710</v>
      </c>
      <c r="C78" s="8" t="s">
        <v>857</v>
      </c>
      <c r="D78" s="8"/>
      <c r="E78" s="8" t="s">
        <v>857</v>
      </c>
      <c r="F78" s="8" t="s">
        <v>710</v>
      </c>
      <c r="G78" s="8"/>
      <c r="H78" s="8" t="s">
        <v>896</v>
      </c>
      <c r="I78" s="8"/>
      <c r="J78" s="8" t="s">
        <v>896</v>
      </c>
      <c r="K78" s="8"/>
      <c r="L78" s="9">
        <v>18627</v>
      </c>
      <c r="M78" s="8" t="s">
        <v>711</v>
      </c>
      <c r="N78" s="9">
        <f>SUM(B78:L79)</f>
        <v>60927</v>
      </c>
      <c r="O78" s="3"/>
      <c r="P78" s="3"/>
      <c r="Q78" s="3"/>
      <c r="R78" s="3"/>
      <c r="S78" s="3"/>
      <c r="T78" s="3"/>
      <c r="U78" s="3"/>
    </row>
    <row r="79" spans="1:21">
      <c r="A79" s="3"/>
      <c r="B79" s="10">
        <v>29761</v>
      </c>
      <c r="C79" s="10">
        <v>6174</v>
      </c>
      <c r="D79" s="10"/>
      <c r="E79" s="10">
        <v>626</v>
      </c>
      <c r="F79" s="10">
        <v>1448</v>
      </c>
      <c r="G79" s="9"/>
      <c r="H79" s="9">
        <v>3675</v>
      </c>
      <c r="I79" s="9"/>
      <c r="J79" s="9">
        <v>616</v>
      </c>
      <c r="K79" s="9"/>
      <c r="L79" s="9"/>
      <c r="M79" s="9"/>
      <c r="N79" s="3"/>
      <c r="O79" s="3"/>
      <c r="P79" s="3"/>
      <c r="Q79" s="3"/>
      <c r="R79" s="3"/>
      <c r="S79" s="3"/>
      <c r="T79" s="3"/>
      <c r="U79" s="3"/>
    </row>
    <row r="80" spans="1:2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>
      <c r="A81" s="36" t="s">
        <v>59</v>
      </c>
      <c r="B81" s="37" t="s">
        <v>78</v>
      </c>
      <c r="C81" s="37" t="s">
        <v>858</v>
      </c>
      <c r="D81" s="37"/>
      <c r="E81" s="37" t="s">
        <v>858</v>
      </c>
      <c r="F81" s="37" t="s">
        <v>858</v>
      </c>
      <c r="G81" s="37"/>
      <c r="H81" s="37" t="s">
        <v>78</v>
      </c>
      <c r="I81" s="37" t="s">
        <v>78</v>
      </c>
      <c r="J81" s="37"/>
      <c r="K81" s="37"/>
      <c r="L81" s="38">
        <v>8654</v>
      </c>
      <c r="M81" s="37" t="s">
        <v>79</v>
      </c>
      <c r="N81" s="9">
        <f>SUM(B81:L82)</f>
        <v>86955</v>
      </c>
      <c r="O81" s="3"/>
      <c r="P81" s="3"/>
      <c r="Q81" s="3"/>
      <c r="R81" s="3"/>
      <c r="S81" s="3"/>
      <c r="T81" s="3"/>
      <c r="U81" s="3"/>
    </row>
    <row r="82" spans="1:21">
      <c r="A82" s="39"/>
      <c r="B82" s="40">
        <v>43407</v>
      </c>
      <c r="C82" s="40">
        <v>28960</v>
      </c>
      <c r="D82" s="38"/>
      <c r="E82" s="43">
        <v>2005</v>
      </c>
      <c r="F82" s="48">
        <v>934</v>
      </c>
      <c r="G82" s="48"/>
      <c r="H82" s="48">
        <v>1513</v>
      </c>
      <c r="I82" s="48">
        <v>1482</v>
      </c>
      <c r="J82" s="48"/>
      <c r="K82" s="43"/>
      <c r="L82" s="43"/>
      <c r="M82" s="43"/>
      <c r="N82" s="24"/>
      <c r="O82" s="3"/>
      <c r="P82" s="3"/>
      <c r="Q82" s="3"/>
      <c r="R82" s="3"/>
      <c r="S82" s="3"/>
      <c r="T82" s="3"/>
      <c r="U82" s="3"/>
    </row>
    <row r="83" spans="1:21">
      <c r="A83" s="3"/>
      <c r="B83" s="10"/>
      <c r="C83" s="10"/>
      <c r="D83" s="9"/>
      <c r="E83" s="23"/>
      <c r="F83" s="60"/>
      <c r="G83" s="60"/>
      <c r="H83" s="60"/>
      <c r="I83" s="60"/>
      <c r="J83" s="60"/>
      <c r="K83" s="23"/>
      <c r="L83" s="23"/>
      <c r="M83" s="23"/>
      <c r="N83" s="24"/>
      <c r="O83" s="3"/>
      <c r="P83" s="3"/>
      <c r="Q83" s="3"/>
      <c r="R83" s="3"/>
      <c r="S83" s="3"/>
      <c r="T83" s="3"/>
      <c r="U83" s="3"/>
    </row>
    <row r="84" spans="1:21">
      <c r="A84" s="7" t="s">
        <v>63</v>
      </c>
      <c r="B84" s="8" t="s">
        <v>543</v>
      </c>
      <c r="C84" s="8" t="s">
        <v>543</v>
      </c>
      <c r="D84" s="8" t="s">
        <v>484</v>
      </c>
      <c r="E84" s="8"/>
      <c r="F84" s="8" t="s">
        <v>543</v>
      </c>
      <c r="G84" s="8"/>
      <c r="H84" s="8"/>
      <c r="I84" s="8"/>
      <c r="J84" s="8"/>
      <c r="K84" s="8"/>
      <c r="L84" s="9">
        <v>14186</v>
      </c>
      <c r="M84" s="8" t="s">
        <v>545</v>
      </c>
      <c r="N84" s="9">
        <f>SUM(B84:L85)</f>
        <v>52653</v>
      </c>
      <c r="O84" s="3"/>
      <c r="P84" s="3"/>
      <c r="Q84" s="3"/>
      <c r="R84" s="3"/>
      <c r="S84" s="3"/>
      <c r="T84" s="3"/>
      <c r="U84" s="3"/>
    </row>
    <row r="85" spans="1:21">
      <c r="A85" s="3"/>
      <c r="B85" s="10">
        <v>24120</v>
      </c>
      <c r="C85" s="9">
        <v>12392</v>
      </c>
      <c r="D85" s="9">
        <v>1348</v>
      </c>
      <c r="E85" s="9"/>
      <c r="F85" s="10">
        <v>607</v>
      </c>
      <c r="G85" s="11"/>
      <c r="H85" s="11"/>
      <c r="I85" s="11"/>
      <c r="J85" s="11"/>
      <c r="K85" s="11"/>
      <c r="L85" s="9"/>
      <c r="M85" s="9"/>
      <c r="N85" s="3"/>
      <c r="O85" s="3"/>
      <c r="P85" s="3"/>
      <c r="Q85" s="3"/>
      <c r="R85" s="3"/>
      <c r="S85" s="3"/>
      <c r="T85" s="3"/>
      <c r="U85" s="3"/>
    </row>
    <row r="86" spans="1:2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9"/>
      <c r="M86" s="11"/>
      <c r="N86" s="3"/>
      <c r="O86" s="3"/>
      <c r="P86" s="3"/>
      <c r="Q86" s="3"/>
      <c r="R86" s="3"/>
      <c r="S86" s="3"/>
      <c r="T86" s="3"/>
      <c r="U86" s="3"/>
    </row>
    <row r="87" spans="1:21">
      <c r="A87" s="36" t="s">
        <v>65</v>
      </c>
      <c r="B87" s="37" t="s">
        <v>859</v>
      </c>
      <c r="C87" s="37" t="s">
        <v>780</v>
      </c>
      <c r="D87" s="37" t="s">
        <v>781</v>
      </c>
      <c r="E87" s="37" t="s">
        <v>780</v>
      </c>
      <c r="F87" s="37" t="s">
        <v>859</v>
      </c>
      <c r="G87" s="37"/>
      <c r="H87" s="37" t="s">
        <v>897</v>
      </c>
      <c r="I87" s="37"/>
      <c r="J87" s="37"/>
      <c r="K87" s="40"/>
      <c r="L87" s="38">
        <v>14525</v>
      </c>
      <c r="M87" s="37" t="s">
        <v>860</v>
      </c>
      <c r="N87" s="9">
        <f>SUM(B87:L88)</f>
        <v>45184</v>
      </c>
      <c r="O87" s="3"/>
      <c r="P87" s="3"/>
      <c r="Q87" s="3"/>
      <c r="R87" s="3"/>
      <c r="S87" s="3"/>
      <c r="T87" s="3"/>
      <c r="U87" s="3"/>
    </row>
    <row r="88" spans="1:21">
      <c r="A88" s="39"/>
      <c r="B88" s="40">
        <v>24119</v>
      </c>
      <c r="C88" s="38">
        <v>3834</v>
      </c>
      <c r="D88" s="40">
        <v>397</v>
      </c>
      <c r="E88" s="40">
        <v>867</v>
      </c>
      <c r="F88" s="40">
        <v>591</v>
      </c>
      <c r="G88" s="38"/>
      <c r="H88" s="38">
        <v>851</v>
      </c>
      <c r="I88" s="38"/>
      <c r="J88" s="38"/>
      <c r="K88" s="40"/>
      <c r="L88" s="38"/>
      <c r="M88" s="38"/>
      <c r="N88" s="3"/>
      <c r="O88" s="3"/>
      <c r="P88" s="3"/>
      <c r="Q88" s="3"/>
      <c r="R88" s="3"/>
      <c r="S88" s="3"/>
      <c r="T88" s="3"/>
      <c r="U88" s="3"/>
    </row>
    <row r="89" spans="1:2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9"/>
      <c r="M89" s="11"/>
      <c r="N89" s="3"/>
      <c r="O89" s="3"/>
      <c r="P89" s="3"/>
      <c r="Q89" s="3"/>
      <c r="R89" s="3"/>
      <c r="S89" s="3"/>
      <c r="T89" s="3"/>
      <c r="U89" s="3"/>
    </row>
    <row r="90" spans="1:21">
      <c r="A90" s="3" t="s">
        <v>67</v>
      </c>
      <c r="B90" s="10" t="s">
        <v>547</v>
      </c>
      <c r="C90" s="10" t="s">
        <v>769</v>
      </c>
      <c r="D90" s="10" t="s">
        <v>769</v>
      </c>
      <c r="E90" s="10" t="s">
        <v>769</v>
      </c>
      <c r="F90" s="10" t="s">
        <v>547</v>
      </c>
      <c r="G90" s="10"/>
      <c r="H90" s="10" t="s">
        <v>547</v>
      </c>
      <c r="I90" s="10"/>
      <c r="J90" s="10" t="s">
        <v>898</v>
      </c>
      <c r="K90" s="10"/>
      <c r="L90" s="9">
        <v>15156</v>
      </c>
      <c r="M90" s="8" t="s">
        <v>549</v>
      </c>
      <c r="N90" s="9">
        <f>SUM(B90:L91)</f>
        <v>91653</v>
      </c>
      <c r="O90" s="3"/>
      <c r="P90" s="3"/>
      <c r="Q90" s="3"/>
      <c r="R90" s="3"/>
      <c r="S90" s="3"/>
      <c r="T90" s="3"/>
      <c r="U90" s="3"/>
    </row>
    <row r="91" spans="1:21">
      <c r="A91" s="3"/>
      <c r="B91" s="10">
        <v>54632</v>
      </c>
      <c r="C91" s="9">
        <v>11956</v>
      </c>
      <c r="D91" s="9">
        <v>531</v>
      </c>
      <c r="E91" s="9">
        <v>1041</v>
      </c>
      <c r="F91" s="10">
        <v>2011</v>
      </c>
      <c r="G91" s="9"/>
      <c r="H91" s="9">
        <v>5756</v>
      </c>
      <c r="I91" s="9"/>
      <c r="J91" s="9">
        <v>570</v>
      </c>
      <c r="K91" s="9"/>
      <c r="L91" s="9"/>
      <c r="M91" s="9"/>
      <c r="N91" s="3"/>
      <c r="O91" s="3"/>
      <c r="P91" s="3"/>
      <c r="Q91" s="3"/>
      <c r="R91" s="3"/>
      <c r="S91" s="3"/>
      <c r="T91" s="3"/>
      <c r="U91" s="3"/>
    </row>
    <row r="92" spans="1:2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9"/>
      <c r="M92" s="9"/>
      <c r="N92" s="3"/>
      <c r="O92" s="3"/>
      <c r="P92" s="3"/>
      <c r="Q92" s="3"/>
      <c r="R92" s="3"/>
      <c r="S92" s="3"/>
      <c r="T92" s="3"/>
      <c r="U92" s="3"/>
    </row>
    <row r="93" spans="1:21">
      <c r="A93" s="39" t="s">
        <v>68</v>
      </c>
      <c r="B93" s="40" t="s">
        <v>784</v>
      </c>
      <c r="C93" s="40" t="s">
        <v>716</v>
      </c>
      <c r="D93" s="40" t="s">
        <v>716</v>
      </c>
      <c r="E93" s="40" t="s">
        <v>716</v>
      </c>
      <c r="F93" s="40" t="s">
        <v>784</v>
      </c>
      <c r="G93" s="40"/>
      <c r="H93" s="40" t="s">
        <v>784</v>
      </c>
      <c r="I93" s="40"/>
      <c r="J93" s="40"/>
      <c r="K93" s="40"/>
      <c r="L93" s="38">
        <v>17472</v>
      </c>
      <c r="M93" s="40" t="s">
        <v>785</v>
      </c>
      <c r="N93" s="9">
        <f>SUM(B93:L94)</f>
        <v>69211</v>
      </c>
      <c r="O93" s="3"/>
      <c r="P93" s="3"/>
      <c r="Q93" s="3"/>
      <c r="R93" s="3"/>
      <c r="S93" s="3"/>
      <c r="T93" s="3"/>
      <c r="U93" s="3"/>
    </row>
    <row r="94" spans="1:21">
      <c r="A94" s="39"/>
      <c r="B94" s="40">
        <v>43536</v>
      </c>
      <c r="C94" s="38">
        <v>3017</v>
      </c>
      <c r="D94" s="40">
        <v>221</v>
      </c>
      <c r="E94" s="40">
        <v>649</v>
      </c>
      <c r="F94" s="40">
        <v>858</v>
      </c>
      <c r="G94" s="38"/>
      <c r="H94" s="38">
        <v>3458</v>
      </c>
      <c r="I94" s="38"/>
      <c r="J94" s="38"/>
      <c r="K94" s="38"/>
      <c r="L94" s="38"/>
      <c r="M94" s="38"/>
      <c r="N94" s="3"/>
      <c r="O94" s="3"/>
      <c r="P94" s="3"/>
      <c r="Q94" s="3"/>
      <c r="R94" s="3"/>
      <c r="S94" s="3"/>
      <c r="T94" s="3"/>
      <c r="U94" s="3"/>
    </row>
    <row r="95" spans="1:21">
      <c r="A95" s="3"/>
      <c r="B95" s="3"/>
      <c r="C95" s="3"/>
      <c r="D95" s="3"/>
      <c r="E95" s="3"/>
      <c r="F95" s="3"/>
      <c r="G95" s="3"/>
      <c r="H95" s="3"/>
      <c r="I95" s="3"/>
      <c r="J95" s="3"/>
      <c r="K95" s="11"/>
      <c r="L95" s="9"/>
      <c r="M95" s="9"/>
      <c r="N95" s="3"/>
      <c r="O95" s="3"/>
      <c r="P95" s="3"/>
      <c r="Q95" s="3"/>
      <c r="R95" s="3"/>
      <c r="S95" s="3"/>
      <c r="T95" s="3"/>
      <c r="U95" s="3"/>
    </row>
    <row r="96" spans="1:21">
      <c r="A96" s="3" t="s">
        <v>69</v>
      </c>
      <c r="B96" s="10" t="s">
        <v>634</v>
      </c>
      <c r="C96" s="10" t="s">
        <v>861</v>
      </c>
      <c r="D96" s="10" t="s">
        <v>484</v>
      </c>
      <c r="E96" s="10"/>
      <c r="F96" s="10"/>
      <c r="G96" s="10"/>
      <c r="H96" s="10" t="s">
        <v>634</v>
      </c>
      <c r="I96" s="10"/>
      <c r="J96" s="10"/>
      <c r="K96" s="10"/>
      <c r="L96" s="9">
        <v>16874</v>
      </c>
      <c r="M96" s="10" t="s">
        <v>636</v>
      </c>
      <c r="N96" s="9">
        <f>SUM(B96:L97)</f>
        <v>64145</v>
      </c>
      <c r="O96" s="3"/>
      <c r="P96" s="3"/>
      <c r="Q96" s="3"/>
      <c r="R96" s="3"/>
      <c r="S96" s="3"/>
      <c r="T96" s="3"/>
      <c r="U96" s="3"/>
    </row>
    <row r="97" spans="1:21">
      <c r="A97" s="3"/>
      <c r="B97" s="10">
        <v>37156</v>
      </c>
      <c r="C97" s="10">
        <v>5843</v>
      </c>
      <c r="D97" s="10">
        <v>528</v>
      </c>
      <c r="E97" s="10"/>
      <c r="F97" s="10"/>
      <c r="G97" s="9"/>
      <c r="H97" s="9">
        <v>3744</v>
      </c>
      <c r="I97" s="9"/>
      <c r="J97" s="9"/>
      <c r="K97" s="9"/>
      <c r="L97" s="9"/>
      <c r="M97" s="9"/>
      <c r="N97" s="3"/>
      <c r="O97" s="3"/>
      <c r="P97" s="3"/>
      <c r="Q97" s="3"/>
      <c r="R97" s="3"/>
      <c r="S97" s="3"/>
      <c r="T97" s="3"/>
      <c r="U97" s="3"/>
    </row>
    <row r="98" spans="1:21">
      <c r="A98" s="3"/>
      <c r="B98" s="3"/>
      <c r="C98" s="3"/>
      <c r="D98" s="3"/>
      <c r="E98" s="3"/>
      <c r="F98" s="3"/>
      <c r="G98" s="3"/>
      <c r="H98" s="3"/>
      <c r="I98" s="3"/>
      <c r="J98" s="3"/>
      <c r="K98" s="9"/>
      <c r="L98" s="9"/>
      <c r="M98" s="9"/>
      <c r="N98" s="3"/>
      <c r="O98" s="3"/>
      <c r="P98" s="3"/>
      <c r="Q98" s="3"/>
      <c r="R98" s="3"/>
      <c r="S98" s="3"/>
      <c r="T98" s="3"/>
      <c r="U98" s="3"/>
    </row>
    <row r="99" spans="1:21">
      <c r="A99" s="39" t="s">
        <v>70</v>
      </c>
      <c r="B99" s="40" t="s">
        <v>481</v>
      </c>
      <c r="C99" s="40" t="s">
        <v>638</v>
      </c>
      <c r="D99" s="40" t="s">
        <v>862</v>
      </c>
      <c r="E99" s="40" t="s">
        <v>638</v>
      </c>
      <c r="F99" s="40"/>
      <c r="G99" s="40"/>
      <c r="H99" s="40"/>
      <c r="I99" s="40"/>
      <c r="J99" s="40"/>
      <c r="K99" s="40"/>
      <c r="L99" s="38">
        <v>9498</v>
      </c>
      <c r="M99" s="40" t="s">
        <v>553</v>
      </c>
      <c r="N99" s="9">
        <f>SUM(B99:L100)</f>
        <v>47261</v>
      </c>
      <c r="O99" s="3"/>
      <c r="P99" s="3"/>
      <c r="Q99" s="3"/>
      <c r="R99" s="3"/>
      <c r="S99" s="3"/>
      <c r="T99" s="3"/>
      <c r="U99" s="3"/>
    </row>
    <row r="100" spans="1:21">
      <c r="A100" s="39"/>
      <c r="B100" s="40">
        <v>24580</v>
      </c>
      <c r="C100" s="40">
        <v>5033</v>
      </c>
      <c r="D100" s="40">
        <v>382</v>
      </c>
      <c r="E100" s="40">
        <v>7768</v>
      </c>
      <c r="F100" s="40"/>
      <c r="G100" s="38"/>
      <c r="H100" s="38"/>
      <c r="I100" s="38"/>
      <c r="J100" s="38"/>
      <c r="K100" s="38"/>
      <c r="L100" s="38"/>
      <c r="M100" s="38"/>
      <c r="N100" s="3"/>
      <c r="O100" s="3"/>
      <c r="P100" s="3"/>
      <c r="Q100" s="3"/>
      <c r="R100" s="3"/>
      <c r="S100" s="3"/>
      <c r="T100" s="3"/>
      <c r="U100" s="3"/>
    </row>
    <row r="101" spans="1:2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9"/>
      <c r="M101" s="9"/>
      <c r="N101" s="3"/>
      <c r="O101" s="3"/>
      <c r="P101" s="3"/>
      <c r="Q101" s="3"/>
      <c r="R101" s="3"/>
      <c r="S101" s="3"/>
      <c r="T101" s="3"/>
      <c r="U101" s="3"/>
    </row>
    <row r="102" spans="1:21">
      <c r="A102" s="3" t="s">
        <v>71</v>
      </c>
      <c r="B102" s="10" t="s">
        <v>718</v>
      </c>
      <c r="C102" s="10" t="s">
        <v>479</v>
      </c>
      <c r="D102" s="10" t="s">
        <v>479</v>
      </c>
      <c r="E102" s="10"/>
      <c r="F102" s="10"/>
      <c r="G102" s="10"/>
      <c r="H102" s="10"/>
      <c r="I102" s="10"/>
      <c r="J102" s="10"/>
      <c r="K102" s="10"/>
      <c r="L102" s="9">
        <v>12570</v>
      </c>
      <c r="M102" s="10" t="s">
        <v>720</v>
      </c>
      <c r="N102" s="9">
        <f>SUM(B102:L103)</f>
        <v>36055</v>
      </c>
      <c r="O102" s="3"/>
      <c r="P102" s="3"/>
      <c r="Q102" s="3"/>
      <c r="R102" s="3"/>
      <c r="S102" s="3"/>
      <c r="T102" s="3"/>
      <c r="U102" s="3"/>
    </row>
    <row r="103" spans="1:21">
      <c r="A103" s="3"/>
      <c r="B103" s="10">
        <v>20057</v>
      </c>
      <c r="C103" s="10">
        <v>2977</v>
      </c>
      <c r="D103" s="10">
        <v>451</v>
      </c>
      <c r="E103" s="10"/>
      <c r="F103" s="10"/>
      <c r="G103" s="9"/>
      <c r="H103" s="9"/>
      <c r="I103" s="9"/>
      <c r="J103" s="9"/>
      <c r="K103" s="9"/>
      <c r="L103" s="9"/>
      <c r="M103" s="9"/>
      <c r="N103" s="3"/>
      <c r="O103" s="3"/>
      <c r="P103" s="3"/>
      <c r="Q103" s="3"/>
      <c r="R103" s="3"/>
      <c r="S103" s="3"/>
      <c r="T103" s="3"/>
      <c r="U103" s="3"/>
    </row>
    <row r="104" spans="1:2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>
      <c r="A105" s="41" t="s">
        <v>5</v>
      </c>
      <c r="B105" s="37" t="s">
        <v>714</v>
      </c>
      <c r="C105" s="37" t="s">
        <v>863</v>
      </c>
      <c r="D105" s="37" t="s">
        <v>863</v>
      </c>
      <c r="E105" s="37" t="s">
        <v>864</v>
      </c>
      <c r="F105" s="37" t="s">
        <v>865</v>
      </c>
      <c r="G105" s="37"/>
      <c r="H105" s="37"/>
      <c r="I105" s="37"/>
      <c r="J105" s="37"/>
      <c r="K105" s="37"/>
      <c r="L105" s="38">
        <v>9608</v>
      </c>
      <c r="M105" s="37" t="s">
        <v>866</v>
      </c>
      <c r="N105" s="9">
        <f>SUM(B105:L106)</f>
        <v>61034</v>
      </c>
      <c r="O105" s="3"/>
      <c r="P105" s="3"/>
      <c r="Q105" s="3"/>
      <c r="R105" s="3"/>
      <c r="S105" s="3"/>
      <c r="T105" s="3"/>
      <c r="U105" s="3"/>
    </row>
    <row r="106" spans="1:21">
      <c r="A106" s="38"/>
      <c r="B106" s="38">
        <v>17148</v>
      </c>
      <c r="C106" s="40">
        <v>27858</v>
      </c>
      <c r="D106" s="40">
        <v>2952</v>
      </c>
      <c r="E106" s="40">
        <v>3468</v>
      </c>
      <c r="F106" s="41" t="s">
        <v>865</v>
      </c>
      <c r="G106" s="41"/>
      <c r="H106" s="41"/>
      <c r="I106" s="41"/>
      <c r="J106" s="41"/>
      <c r="K106" s="40"/>
      <c r="L106" s="38"/>
      <c r="M106" s="41"/>
      <c r="N106" s="3"/>
      <c r="O106" s="3"/>
      <c r="P106" s="3"/>
      <c r="Q106" s="3"/>
      <c r="R106" s="3"/>
      <c r="S106" s="3"/>
      <c r="T106" s="3"/>
      <c r="U106" s="3"/>
    </row>
    <row r="107" spans="1:21">
      <c r="A107" s="9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9"/>
      <c r="M107" s="9"/>
      <c r="N107" s="3"/>
      <c r="O107" s="3"/>
      <c r="P107" s="3"/>
      <c r="Q107" s="3"/>
      <c r="R107" s="3"/>
      <c r="S107" s="3"/>
      <c r="T107" s="3"/>
      <c r="U107" s="3"/>
    </row>
    <row r="108" spans="1:21">
      <c r="A108" s="11" t="s">
        <v>104</v>
      </c>
      <c r="B108" s="8" t="s">
        <v>218</v>
      </c>
      <c r="C108" s="8" t="s">
        <v>721</v>
      </c>
      <c r="D108" s="8" t="s">
        <v>721</v>
      </c>
      <c r="E108" s="8" t="s">
        <v>722</v>
      </c>
      <c r="F108" s="8"/>
      <c r="G108" s="8" t="s">
        <v>867</v>
      </c>
      <c r="H108" s="8" t="s">
        <v>722</v>
      </c>
      <c r="I108" s="8"/>
      <c r="J108" s="8"/>
      <c r="K108" s="8"/>
      <c r="L108" s="9">
        <v>8338</v>
      </c>
      <c r="M108" s="8" t="s">
        <v>868</v>
      </c>
      <c r="N108" s="9">
        <f>SUM(B108:L109)</f>
        <v>79244</v>
      </c>
      <c r="O108" s="3"/>
      <c r="P108" s="3"/>
      <c r="Q108" s="3"/>
      <c r="R108" s="3"/>
      <c r="S108" s="3"/>
      <c r="T108" s="3"/>
      <c r="U108" s="3"/>
    </row>
    <row r="109" spans="1:21">
      <c r="A109" s="9"/>
      <c r="B109" s="9">
        <v>24979</v>
      </c>
      <c r="C109" s="10">
        <v>35653</v>
      </c>
      <c r="D109" s="10">
        <v>3430</v>
      </c>
      <c r="E109" s="10">
        <v>3744</v>
      </c>
      <c r="F109" s="9"/>
      <c r="G109" s="10">
        <v>1966</v>
      </c>
      <c r="H109" s="10">
        <v>1134</v>
      </c>
      <c r="I109" s="10"/>
      <c r="J109" s="10"/>
      <c r="K109" s="10"/>
      <c r="L109" s="9"/>
      <c r="M109" s="11"/>
      <c r="N109" s="3"/>
      <c r="O109" s="3"/>
      <c r="P109" s="3"/>
      <c r="Q109" s="3"/>
      <c r="R109" s="3"/>
      <c r="S109" s="3"/>
      <c r="T109" s="3"/>
      <c r="U109" s="3"/>
    </row>
    <row r="110" spans="1:21">
      <c r="A110" s="9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9"/>
      <c r="M110" s="9"/>
      <c r="N110" s="3"/>
      <c r="O110" s="3"/>
      <c r="P110" s="3"/>
      <c r="Q110" s="3"/>
      <c r="R110" s="3"/>
      <c r="S110" s="3"/>
      <c r="T110" s="3"/>
      <c r="U110" s="3"/>
    </row>
    <row r="111" spans="1:21">
      <c r="A111" s="41" t="s">
        <v>8</v>
      </c>
      <c r="B111" s="37" t="s">
        <v>401</v>
      </c>
      <c r="C111" s="37" t="s">
        <v>869</v>
      </c>
      <c r="D111" s="37" t="s">
        <v>869</v>
      </c>
      <c r="E111" s="37"/>
      <c r="F111" s="37" t="s">
        <v>870</v>
      </c>
      <c r="G111" s="37"/>
      <c r="H111" s="37" t="s">
        <v>401</v>
      </c>
      <c r="I111" s="37"/>
      <c r="J111" s="37"/>
      <c r="K111" s="37"/>
      <c r="L111" s="38">
        <v>15889</v>
      </c>
      <c r="M111" s="37" t="s">
        <v>403</v>
      </c>
      <c r="N111" s="9">
        <f>SUM(B111:L112)</f>
        <v>57046</v>
      </c>
      <c r="O111" s="3"/>
      <c r="P111" s="3"/>
      <c r="Q111" s="3"/>
      <c r="R111" s="3"/>
      <c r="S111" s="3"/>
      <c r="T111" s="3"/>
      <c r="U111" s="3"/>
    </row>
    <row r="112" spans="1:21">
      <c r="A112" s="38"/>
      <c r="B112" s="38">
        <v>37255</v>
      </c>
      <c r="C112" s="38">
        <v>2318</v>
      </c>
      <c r="D112" s="38">
        <v>373</v>
      </c>
      <c r="E112" s="38"/>
      <c r="F112" s="38"/>
      <c r="G112" s="38"/>
      <c r="H112" s="38">
        <v>1211</v>
      </c>
      <c r="I112" s="38"/>
      <c r="J112" s="38"/>
      <c r="K112" s="38"/>
      <c r="L112" s="38"/>
      <c r="M112" s="41"/>
      <c r="N112" s="3"/>
      <c r="O112" s="3"/>
      <c r="P112" s="3"/>
      <c r="Q112" s="3"/>
      <c r="R112" s="3"/>
      <c r="S112" s="3"/>
      <c r="T112" s="3"/>
      <c r="U112" s="3"/>
    </row>
    <row r="113" spans="1:21">
      <c r="A113" s="9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9"/>
      <c r="N113" s="3"/>
      <c r="O113" s="3"/>
      <c r="P113" s="3"/>
      <c r="Q113" s="3"/>
      <c r="R113" s="3"/>
      <c r="S113" s="3"/>
      <c r="T113" s="3"/>
      <c r="U113" s="3"/>
    </row>
    <row r="114" spans="1:21">
      <c r="A114" s="11" t="s">
        <v>10</v>
      </c>
      <c r="B114" s="8" t="s">
        <v>556</v>
      </c>
      <c r="C114" s="8" t="s">
        <v>871</v>
      </c>
      <c r="D114" s="8" t="s">
        <v>871</v>
      </c>
      <c r="E114" s="8" t="s">
        <v>871</v>
      </c>
      <c r="F114" s="8"/>
      <c r="G114" s="8" t="s">
        <v>872</v>
      </c>
      <c r="H114" s="8" t="s">
        <v>556</v>
      </c>
      <c r="I114" s="8"/>
      <c r="J114" s="8"/>
      <c r="K114" s="8"/>
      <c r="L114" s="9">
        <v>10699</v>
      </c>
      <c r="M114" s="8" t="s">
        <v>557</v>
      </c>
      <c r="N114" s="9">
        <f>SUM(B114:L115)</f>
        <v>89486</v>
      </c>
      <c r="O114" s="3"/>
      <c r="P114" s="3"/>
      <c r="Q114" s="3"/>
      <c r="R114" s="3"/>
      <c r="S114" s="3"/>
      <c r="T114" s="3"/>
      <c r="U114" s="3"/>
    </row>
    <row r="115" spans="1:21">
      <c r="A115" s="9"/>
      <c r="B115" s="10">
        <v>50174</v>
      </c>
      <c r="C115" s="9">
        <v>22168</v>
      </c>
      <c r="D115" s="9">
        <v>2090</v>
      </c>
      <c r="E115" s="9">
        <v>1482</v>
      </c>
      <c r="F115" s="9"/>
      <c r="G115" s="9">
        <v>1280</v>
      </c>
      <c r="H115" s="9">
        <v>1593</v>
      </c>
      <c r="I115" s="9"/>
      <c r="J115" s="9"/>
      <c r="K115" s="9"/>
      <c r="L115" s="9"/>
      <c r="M115" s="11"/>
      <c r="N115" s="3"/>
      <c r="O115" s="3"/>
      <c r="P115" s="3"/>
      <c r="Q115" s="3"/>
      <c r="R115" s="3"/>
      <c r="S115" s="3"/>
      <c r="T115" s="3"/>
      <c r="U115" s="3"/>
    </row>
    <row r="116" spans="1:2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3"/>
      <c r="O116" s="3"/>
      <c r="P116" s="3"/>
      <c r="Q116" s="3"/>
      <c r="R116" s="3"/>
      <c r="S116" s="3"/>
      <c r="T116" s="3"/>
      <c r="U116" s="3"/>
    </row>
    <row r="117" spans="1:21">
      <c r="A117" s="41" t="s">
        <v>14</v>
      </c>
      <c r="B117" s="37"/>
      <c r="C117" s="37" t="s">
        <v>644</v>
      </c>
      <c r="D117" s="37" t="s">
        <v>644</v>
      </c>
      <c r="E117" s="37" t="s">
        <v>644</v>
      </c>
      <c r="F117" s="37"/>
      <c r="G117" s="37" t="s">
        <v>730</v>
      </c>
      <c r="H117" s="37" t="s">
        <v>644</v>
      </c>
      <c r="I117" s="37" t="s">
        <v>899</v>
      </c>
      <c r="J117" s="37"/>
      <c r="K117" s="37"/>
      <c r="L117" s="38">
        <v>33735</v>
      </c>
      <c r="M117" s="37" t="s">
        <v>645</v>
      </c>
      <c r="N117" s="9">
        <f>SUM(B117:L118)</f>
        <v>96548</v>
      </c>
      <c r="O117" s="3"/>
      <c r="P117" s="3"/>
      <c r="Q117" s="3"/>
      <c r="R117" s="3"/>
      <c r="S117" s="3"/>
      <c r="T117" s="3"/>
      <c r="U117" s="3"/>
    </row>
    <row r="118" spans="1:21">
      <c r="A118" s="38"/>
      <c r="B118" s="38"/>
      <c r="C118" s="38">
        <v>46954</v>
      </c>
      <c r="D118" s="38">
        <v>4943</v>
      </c>
      <c r="E118" s="38">
        <v>4994</v>
      </c>
      <c r="F118" s="38"/>
      <c r="G118" s="38">
        <v>1897</v>
      </c>
      <c r="H118" s="38">
        <v>1715</v>
      </c>
      <c r="I118" s="38">
        <v>2310</v>
      </c>
      <c r="J118" s="38"/>
      <c r="K118" s="38"/>
      <c r="L118" s="38"/>
      <c r="M118" s="41"/>
      <c r="N118" s="3"/>
      <c r="O118" s="3"/>
      <c r="P118" s="3"/>
      <c r="Q118" s="3"/>
      <c r="R118" s="3"/>
      <c r="S118" s="3"/>
      <c r="T118" s="3"/>
      <c r="U118" s="3"/>
    </row>
    <row r="119" spans="1:21">
      <c r="A119" s="9"/>
      <c r="B119" s="3"/>
      <c r="C119" s="3"/>
      <c r="D119" s="3"/>
      <c r="E119" s="3"/>
      <c r="F119" s="3"/>
      <c r="G119" s="3"/>
      <c r="H119" s="3"/>
      <c r="I119" s="3"/>
      <c r="J119" s="3"/>
      <c r="K119" s="9"/>
      <c r="L119" s="9"/>
      <c r="M119" s="9"/>
      <c r="N119" s="3"/>
      <c r="O119" s="3"/>
      <c r="P119" s="3"/>
      <c r="Q119" s="3"/>
      <c r="R119" s="3"/>
      <c r="S119" s="3"/>
      <c r="T119" s="3"/>
      <c r="U119" s="3"/>
    </row>
    <row r="120" spans="1:21">
      <c r="A120" s="11" t="s">
        <v>17</v>
      </c>
      <c r="B120" s="8" t="s">
        <v>873</v>
      </c>
      <c r="C120" s="8" t="s">
        <v>335</v>
      </c>
      <c r="D120" s="8" t="s">
        <v>335</v>
      </c>
      <c r="E120" s="8"/>
      <c r="F120" s="8"/>
      <c r="G120" s="8" t="s">
        <v>874</v>
      </c>
      <c r="H120" s="8" t="s">
        <v>873</v>
      </c>
      <c r="I120" s="8" t="s">
        <v>900</v>
      </c>
      <c r="J120" s="8"/>
      <c r="K120" s="8"/>
      <c r="L120" s="9">
        <v>8539</v>
      </c>
      <c r="M120" s="8" t="s">
        <v>337</v>
      </c>
      <c r="N120" s="9">
        <f>SUM(B120:L121)</f>
        <v>82388</v>
      </c>
      <c r="O120" s="3"/>
      <c r="P120" s="3"/>
      <c r="Q120" s="3"/>
      <c r="R120" s="3"/>
      <c r="S120" s="3"/>
      <c r="T120" s="3"/>
      <c r="U120" s="3"/>
    </row>
    <row r="121" spans="1:21">
      <c r="A121" s="9"/>
      <c r="B121" s="9">
        <v>17425</v>
      </c>
      <c r="C121" s="9">
        <v>48685</v>
      </c>
      <c r="D121" s="9">
        <v>4470</v>
      </c>
      <c r="E121" s="9"/>
      <c r="F121" s="9"/>
      <c r="G121" s="11">
        <v>1590</v>
      </c>
      <c r="H121" s="11">
        <v>571</v>
      </c>
      <c r="I121" s="11">
        <v>1108</v>
      </c>
      <c r="J121" s="11"/>
      <c r="K121" s="11"/>
      <c r="L121" s="9"/>
      <c r="M121" s="11"/>
      <c r="N121" s="3"/>
      <c r="O121" s="3"/>
      <c r="P121" s="3"/>
      <c r="Q121" s="3"/>
      <c r="R121" s="3"/>
      <c r="S121" s="3"/>
      <c r="T121" s="3"/>
      <c r="U121" s="3"/>
    </row>
    <row r="122" spans="1:21">
      <c r="A122" s="9"/>
      <c r="B122" s="3"/>
      <c r="C122" s="3"/>
      <c r="D122" s="3"/>
      <c r="E122" s="3"/>
      <c r="F122" s="3"/>
      <c r="G122" s="3"/>
      <c r="H122" s="3"/>
      <c r="I122" s="3"/>
      <c r="J122" s="3"/>
      <c r="K122" s="9"/>
      <c r="L122" s="9"/>
      <c r="M122" s="9"/>
      <c r="N122" s="3"/>
      <c r="O122" s="3"/>
      <c r="P122" s="3"/>
      <c r="Q122" s="3"/>
      <c r="R122" s="3"/>
      <c r="S122" s="3"/>
      <c r="T122" s="3"/>
      <c r="U122" s="3"/>
    </row>
    <row r="123" spans="1:21">
      <c r="A123" s="41" t="s">
        <v>19</v>
      </c>
      <c r="B123" s="37"/>
      <c r="C123" s="37" t="s">
        <v>647</v>
      </c>
      <c r="D123" s="37" t="s">
        <v>647</v>
      </c>
      <c r="E123" s="37" t="s">
        <v>647</v>
      </c>
      <c r="F123" s="37"/>
      <c r="G123" s="37" t="s">
        <v>150</v>
      </c>
      <c r="H123" s="37" t="s">
        <v>901</v>
      </c>
      <c r="I123" s="37"/>
      <c r="J123" s="37"/>
      <c r="K123" s="37"/>
      <c r="L123" s="40">
        <v>27540</v>
      </c>
      <c r="M123" s="37" t="s">
        <v>648</v>
      </c>
      <c r="N123" s="9">
        <f>SUM(B123:L124)</f>
        <v>92866</v>
      </c>
      <c r="O123" s="3"/>
      <c r="P123" s="3"/>
      <c r="Q123" s="3"/>
      <c r="R123" s="3"/>
      <c r="S123" s="3"/>
      <c r="T123" s="3"/>
      <c r="U123" s="3"/>
    </row>
    <row r="124" spans="1:21">
      <c r="A124" s="38"/>
      <c r="B124" s="38"/>
      <c r="C124" s="38">
        <v>49767</v>
      </c>
      <c r="D124" s="38">
        <v>4803</v>
      </c>
      <c r="E124" s="38">
        <v>5731</v>
      </c>
      <c r="F124" s="38"/>
      <c r="G124" s="38">
        <v>2622</v>
      </c>
      <c r="H124" s="38">
        <v>2403</v>
      </c>
      <c r="I124" s="38"/>
      <c r="J124" s="38"/>
      <c r="K124" s="41"/>
      <c r="L124" s="38"/>
      <c r="M124" s="41"/>
      <c r="N124" s="3"/>
      <c r="O124" s="3"/>
      <c r="P124" s="3"/>
      <c r="Q124" s="3"/>
      <c r="R124" s="3"/>
      <c r="S124" s="3"/>
      <c r="T124" s="3"/>
      <c r="U124" s="3"/>
    </row>
    <row r="125" spans="1:21">
      <c r="A125" s="9"/>
      <c r="B125" s="3"/>
      <c r="C125" s="3"/>
      <c r="D125" s="3"/>
      <c r="E125" s="3"/>
      <c r="F125" s="3"/>
      <c r="G125" s="3"/>
      <c r="H125" s="3"/>
      <c r="I125" s="3"/>
      <c r="J125" s="3"/>
      <c r="K125" s="9"/>
      <c r="L125" s="9"/>
      <c r="M125" s="9"/>
      <c r="N125" s="3"/>
      <c r="O125" s="3"/>
      <c r="P125" s="3"/>
      <c r="Q125" s="3"/>
      <c r="R125" s="3"/>
      <c r="S125" s="3"/>
      <c r="T125" s="3"/>
      <c r="U125" s="3"/>
    </row>
    <row r="126" spans="1:21">
      <c r="A126" s="11" t="s">
        <v>20</v>
      </c>
      <c r="B126" s="8" t="s">
        <v>875</v>
      </c>
      <c r="C126" s="8" t="s">
        <v>489</v>
      </c>
      <c r="D126" s="8" t="s">
        <v>489</v>
      </c>
      <c r="E126" s="8"/>
      <c r="F126" s="8"/>
      <c r="G126" s="8"/>
      <c r="H126" s="8"/>
      <c r="I126" s="8"/>
      <c r="J126" s="8"/>
      <c r="K126" s="8"/>
      <c r="L126" s="10">
        <v>10612</v>
      </c>
      <c r="M126" s="8" t="s">
        <v>563</v>
      </c>
      <c r="N126" s="9">
        <f>SUM(B126:L127)</f>
        <v>89687</v>
      </c>
      <c r="O126" s="3"/>
      <c r="P126" s="3"/>
      <c r="Q126" s="3"/>
      <c r="R126" s="3"/>
      <c r="S126" s="3"/>
      <c r="T126" s="3"/>
      <c r="U126" s="3"/>
    </row>
    <row r="127" spans="1:21">
      <c r="A127" s="9"/>
      <c r="B127" s="9">
        <v>20114</v>
      </c>
      <c r="C127" s="9">
        <v>52637</v>
      </c>
      <c r="D127" s="9">
        <v>6324</v>
      </c>
      <c r="E127" s="9"/>
      <c r="F127" s="9"/>
      <c r="G127" s="9"/>
      <c r="H127" s="9"/>
      <c r="I127" s="9"/>
      <c r="J127" s="9"/>
      <c r="K127" s="9"/>
      <c r="L127" s="9"/>
      <c r="M127" s="11"/>
      <c r="N127" s="3"/>
      <c r="O127" s="3"/>
      <c r="P127" s="3"/>
      <c r="Q127" s="3"/>
      <c r="R127" s="3"/>
      <c r="S127" s="3"/>
      <c r="T127" s="3"/>
      <c r="U127" s="3"/>
    </row>
    <row r="128" spans="1:21">
      <c r="A128" s="9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9"/>
      <c r="M128" s="9"/>
      <c r="N128" s="3"/>
      <c r="O128" s="3"/>
      <c r="P128" s="3"/>
      <c r="Q128" s="3"/>
      <c r="R128" s="3"/>
      <c r="S128" s="3"/>
      <c r="T128" s="3"/>
      <c r="U128" s="3"/>
    </row>
    <row r="129" spans="1:21">
      <c r="A129" s="41" t="s">
        <v>22</v>
      </c>
      <c r="B129" s="37"/>
      <c r="C129" s="37" t="s">
        <v>342</v>
      </c>
      <c r="D129" s="37" t="s">
        <v>342</v>
      </c>
      <c r="E129" s="37"/>
      <c r="F129" s="37"/>
      <c r="G129" s="37" t="s">
        <v>876</v>
      </c>
      <c r="H129" s="37"/>
      <c r="I129" s="37"/>
      <c r="J129" s="37" t="s">
        <v>902</v>
      </c>
      <c r="K129" s="37"/>
      <c r="L129" s="40">
        <v>35572</v>
      </c>
      <c r="M129" s="37" t="s">
        <v>343</v>
      </c>
      <c r="N129" s="9">
        <f>SUM(B129:L130)</f>
        <v>90348</v>
      </c>
      <c r="O129" s="3"/>
      <c r="P129" s="3"/>
      <c r="Q129" s="3"/>
      <c r="R129" s="3"/>
      <c r="S129" s="3"/>
      <c r="T129" s="3"/>
      <c r="U129" s="3"/>
    </row>
    <row r="130" spans="1:21">
      <c r="A130" s="38"/>
      <c r="B130" s="40"/>
      <c r="C130" s="38">
        <v>44250</v>
      </c>
      <c r="D130" s="38">
        <v>5466</v>
      </c>
      <c r="E130" s="38"/>
      <c r="F130" s="38"/>
      <c r="G130" s="38">
        <v>2529</v>
      </c>
      <c r="H130" s="38"/>
      <c r="I130" s="38"/>
      <c r="J130" s="38">
        <v>2531</v>
      </c>
      <c r="K130" s="38"/>
      <c r="L130" s="38"/>
      <c r="M130" s="41"/>
      <c r="N130" s="3"/>
      <c r="O130" s="3"/>
      <c r="P130" s="3"/>
      <c r="Q130" s="3"/>
      <c r="R130" s="3"/>
      <c r="S130" s="3"/>
      <c r="T130" s="3"/>
      <c r="U130" s="3"/>
    </row>
    <row r="131" spans="1:21">
      <c r="A131" s="9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9"/>
      <c r="M131" s="9"/>
      <c r="N131" s="3"/>
      <c r="O131" s="3"/>
      <c r="P131" s="3"/>
      <c r="Q131" s="3"/>
      <c r="R131" s="3"/>
      <c r="S131" s="3"/>
      <c r="T131" s="3"/>
      <c r="U131" s="3"/>
    </row>
    <row r="132" spans="1:21">
      <c r="A132" s="11" t="s">
        <v>25</v>
      </c>
      <c r="B132" s="8"/>
      <c r="C132" s="8" t="s">
        <v>729</v>
      </c>
      <c r="D132" s="8" t="s">
        <v>729</v>
      </c>
      <c r="E132" s="8" t="s">
        <v>730</v>
      </c>
      <c r="F132" s="8"/>
      <c r="G132" s="8"/>
      <c r="H132" s="8"/>
      <c r="I132" s="8"/>
      <c r="J132" s="8"/>
      <c r="K132" s="8"/>
      <c r="L132" s="9">
        <v>32641</v>
      </c>
      <c r="M132" s="8" t="s">
        <v>731</v>
      </c>
      <c r="N132" s="9">
        <f>SUM(B132:L133)</f>
        <v>108677</v>
      </c>
      <c r="O132" s="3"/>
      <c r="P132" s="3"/>
      <c r="Q132" s="3"/>
      <c r="R132" s="3"/>
      <c r="S132" s="3"/>
      <c r="T132" s="3"/>
      <c r="U132" s="3"/>
    </row>
    <row r="133" spans="1:21">
      <c r="A133" s="9"/>
      <c r="B133" s="10"/>
      <c r="C133" s="9">
        <v>58214</v>
      </c>
      <c r="D133" s="9">
        <v>7059</v>
      </c>
      <c r="E133" s="9">
        <v>10763</v>
      </c>
      <c r="F133" s="9"/>
      <c r="G133" s="9"/>
      <c r="H133" s="9"/>
      <c r="I133" s="9"/>
      <c r="J133" s="9"/>
      <c r="K133" s="9"/>
      <c r="L133" s="9"/>
      <c r="M133" s="11"/>
      <c r="N133" s="3"/>
      <c r="O133" s="3"/>
      <c r="P133" s="3"/>
      <c r="Q133" s="3"/>
      <c r="R133" s="3"/>
      <c r="S133" s="3"/>
      <c r="T133" s="3"/>
      <c r="U133" s="3"/>
    </row>
    <row r="134" spans="1:21">
      <c r="A134" s="9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9"/>
      <c r="M134" s="9"/>
      <c r="N134" s="3"/>
      <c r="O134" s="3"/>
      <c r="P134" s="3"/>
      <c r="Q134" s="3"/>
      <c r="R134" s="3"/>
      <c r="S134" s="3"/>
      <c r="T134" s="3"/>
      <c r="U134" s="3"/>
    </row>
    <row r="135" spans="1:21">
      <c r="A135" s="41" t="s">
        <v>27</v>
      </c>
      <c r="B135" s="37" t="s">
        <v>459</v>
      </c>
      <c r="C135" s="37" t="s">
        <v>568</v>
      </c>
      <c r="D135" s="37" t="s">
        <v>568</v>
      </c>
      <c r="E135" s="37" t="s">
        <v>414</v>
      </c>
      <c r="F135" s="37" t="s">
        <v>459</v>
      </c>
      <c r="G135" s="37"/>
      <c r="H135" s="37" t="s">
        <v>459</v>
      </c>
      <c r="I135" s="37" t="s">
        <v>774</v>
      </c>
      <c r="J135" s="37"/>
      <c r="K135" s="37"/>
      <c r="L135" s="38">
        <v>8851</v>
      </c>
      <c r="M135" s="37" t="s">
        <v>416</v>
      </c>
      <c r="N135" s="9">
        <f>SUM(B135:L136)</f>
        <v>103581</v>
      </c>
      <c r="O135" s="3"/>
      <c r="P135" s="3"/>
      <c r="Q135" s="3"/>
      <c r="R135" s="3"/>
      <c r="S135" s="3"/>
      <c r="T135" s="3"/>
      <c r="U135" s="3"/>
    </row>
    <row r="136" spans="1:21">
      <c r="A136" s="38"/>
      <c r="B136" s="38">
        <v>20561</v>
      </c>
      <c r="C136" s="38">
        <v>56527</v>
      </c>
      <c r="D136" s="38">
        <v>5450</v>
      </c>
      <c r="E136" s="38">
        <v>9081</v>
      </c>
      <c r="F136" s="38">
        <v>788</v>
      </c>
      <c r="G136" s="38"/>
      <c r="H136" s="38">
        <v>736</v>
      </c>
      <c r="I136" s="38">
        <v>1587</v>
      </c>
      <c r="J136" s="38"/>
      <c r="K136" s="38"/>
      <c r="L136" s="38"/>
      <c r="M136" s="41"/>
      <c r="N136" s="3"/>
      <c r="O136" s="3"/>
      <c r="P136" s="3"/>
      <c r="Q136" s="3"/>
      <c r="R136" s="3"/>
      <c r="S136" s="3"/>
      <c r="T136" s="3"/>
      <c r="U136" s="3"/>
    </row>
    <row r="137" spans="1:21">
      <c r="A137" s="9"/>
      <c r="B137" s="3"/>
      <c r="C137" s="3"/>
      <c r="D137" s="3"/>
      <c r="E137" s="3"/>
      <c r="F137" s="3"/>
      <c r="G137" s="3"/>
      <c r="H137" s="3"/>
      <c r="I137" s="3"/>
      <c r="J137" s="3"/>
      <c r="K137" s="9"/>
      <c r="L137" s="9"/>
      <c r="M137" s="9"/>
      <c r="N137" s="3"/>
      <c r="O137" s="3"/>
      <c r="P137" s="3"/>
      <c r="Q137" s="3"/>
      <c r="R137" s="3"/>
      <c r="S137" s="3"/>
      <c r="T137" s="3"/>
      <c r="U137" s="3"/>
    </row>
    <row r="138" spans="1:21">
      <c r="A138" s="11" t="s">
        <v>30</v>
      </c>
      <c r="B138" s="8" t="s">
        <v>877</v>
      </c>
      <c r="C138" s="8" t="s">
        <v>86</v>
      </c>
      <c r="D138" s="8" t="s">
        <v>86</v>
      </c>
      <c r="E138" s="8" t="s">
        <v>86</v>
      </c>
      <c r="F138" s="8"/>
      <c r="G138" s="8"/>
      <c r="H138" s="8"/>
      <c r="I138" s="8"/>
      <c r="J138" s="8"/>
      <c r="K138" s="8"/>
      <c r="L138" s="9">
        <v>10583</v>
      </c>
      <c r="M138" s="8" t="s">
        <v>878</v>
      </c>
      <c r="N138" s="9">
        <f>SUM(B138:L139)</f>
        <v>92128</v>
      </c>
      <c r="O138" s="3"/>
      <c r="P138" s="3"/>
      <c r="Q138" s="3"/>
      <c r="R138" s="3"/>
      <c r="S138" s="3"/>
      <c r="T138" s="3"/>
      <c r="U138" s="3"/>
    </row>
    <row r="139" spans="1:21">
      <c r="A139" s="9"/>
      <c r="B139" s="11">
        <v>18530</v>
      </c>
      <c r="C139" s="9">
        <v>52402</v>
      </c>
      <c r="D139" s="9">
        <v>4934</v>
      </c>
      <c r="E139" s="9">
        <v>5679</v>
      </c>
      <c r="F139" s="9"/>
      <c r="G139" s="9"/>
      <c r="H139" s="9"/>
      <c r="I139" s="9"/>
      <c r="J139" s="9"/>
      <c r="K139" s="9"/>
      <c r="L139" s="9"/>
      <c r="M139" s="11"/>
      <c r="N139" s="3"/>
      <c r="O139" s="3"/>
      <c r="P139" s="3"/>
      <c r="Q139" s="3"/>
      <c r="R139" s="3"/>
      <c r="S139" s="3"/>
      <c r="T139" s="3"/>
      <c r="U139" s="3"/>
    </row>
    <row r="140" spans="1:21">
      <c r="A140" s="9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9"/>
      <c r="N140" s="3"/>
      <c r="O140" s="3"/>
      <c r="P140" s="3"/>
      <c r="Q140" s="3"/>
      <c r="R140" s="3"/>
      <c r="S140" s="3"/>
      <c r="T140" s="3"/>
      <c r="U140" s="3"/>
    </row>
    <row r="141" spans="1:21">
      <c r="A141" s="41" t="s">
        <v>31</v>
      </c>
      <c r="B141" s="37" t="s">
        <v>72</v>
      </c>
      <c r="C141" s="37" t="s">
        <v>879</v>
      </c>
      <c r="D141" s="37" t="s">
        <v>879</v>
      </c>
      <c r="E141" s="37" t="s">
        <v>72</v>
      </c>
      <c r="F141" s="37" t="s">
        <v>72</v>
      </c>
      <c r="G141" s="37"/>
      <c r="H141" s="37" t="s">
        <v>72</v>
      </c>
      <c r="I141" s="37"/>
      <c r="J141" s="37"/>
      <c r="K141" s="37"/>
      <c r="L141" s="38">
        <v>8911</v>
      </c>
      <c r="M141" s="37" t="s">
        <v>92</v>
      </c>
      <c r="N141" s="9">
        <f>SUM(B141:L142)</f>
        <v>113679</v>
      </c>
      <c r="O141" s="3"/>
      <c r="P141" s="3"/>
      <c r="Q141" s="3"/>
      <c r="R141" s="3"/>
      <c r="S141" s="3"/>
      <c r="T141" s="3"/>
      <c r="U141" s="3"/>
    </row>
    <row r="142" spans="1:21">
      <c r="A142" s="38"/>
      <c r="B142" s="38">
        <v>64466</v>
      </c>
      <c r="C142" s="38">
        <v>25419</v>
      </c>
      <c r="D142" s="38">
        <v>3439</v>
      </c>
      <c r="E142" s="38">
        <v>7598</v>
      </c>
      <c r="F142" s="38">
        <v>1330</v>
      </c>
      <c r="G142" s="38"/>
      <c r="H142" s="38">
        <v>2516</v>
      </c>
      <c r="I142" s="38"/>
      <c r="J142" s="38"/>
      <c r="K142" s="38"/>
      <c r="L142" s="38"/>
      <c r="M142" s="41"/>
      <c r="N142" s="3"/>
      <c r="O142" s="3"/>
      <c r="P142" s="3"/>
      <c r="Q142" s="3"/>
      <c r="R142" s="3"/>
      <c r="S142" s="3"/>
      <c r="T142" s="3"/>
      <c r="U142" s="3"/>
    </row>
    <row r="143" spans="1:21">
      <c r="A143" s="9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9"/>
      <c r="M143" s="9"/>
      <c r="N143" s="3"/>
      <c r="O143" s="3"/>
      <c r="P143" s="3"/>
      <c r="Q143" s="3"/>
      <c r="R143" s="3"/>
      <c r="S143" s="3"/>
      <c r="T143" s="3"/>
      <c r="U143" s="3"/>
    </row>
    <row r="144" spans="1:21">
      <c r="A144" s="11" t="s">
        <v>34</v>
      </c>
      <c r="B144" s="8"/>
      <c r="C144" s="8" t="s">
        <v>795</v>
      </c>
      <c r="D144" s="8" t="s">
        <v>795</v>
      </c>
      <c r="E144" s="8"/>
      <c r="F144" s="8"/>
      <c r="G144" s="8"/>
      <c r="H144" s="8"/>
      <c r="I144" s="8"/>
      <c r="J144" s="8"/>
      <c r="K144" s="8"/>
      <c r="L144" s="9">
        <v>29936</v>
      </c>
      <c r="M144" s="8" t="s">
        <v>796</v>
      </c>
      <c r="N144" s="9">
        <f>SUM(B144:L145)</f>
        <v>90334</v>
      </c>
      <c r="O144" s="3"/>
      <c r="P144" s="3"/>
      <c r="Q144" s="3"/>
      <c r="R144" s="3"/>
      <c r="S144" s="3"/>
      <c r="T144" s="3"/>
      <c r="U144" s="3"/>
    </row>
    <row r="145" spans="1:21">
      <c r="A145" s="9"/>
      <c r="B145" s="11"/>
      <c r="C145" s="9">
        <v>52435</v>
      </c>
      <c r="D145" s="9">
        <v>7963</v>
      </c>
      <c r="E145" s="9"/>
      <c r="F145" s="9"/>
      <c r="G145" s="9"/>
      <c r="H145" s="9"/>
      <c r="I145" s="9"/>
      <c r="J145" s="9"/>
      <c r="K145" s="9"/>
      <c r="L145" s="9"/>
      <c r="M145" s="11"/>
      <c r="N145" s="3"/>
      <c r="O145" s="3"/>
      <c r="P145" s="3"/>
      <c r="Q145" s="3"/>
      <c r="R145" s="3"/>
      <c r="S145" s="3"/>
      <c r="T145" s="3"/>
      <c r="U145" s="3"/>
    </row>
    <row r="146" spans="1:2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>
      <c r="A147" s="41" t="s">
        <v>37</v>
      </c>
      <c r="B147" s="37"/>
      <c r="C147" s="37" t="s">
        <v>451</v>
      </c>
      <c r="D147" s="37" t="s">
        <v>451</v>
      </c>
      <c r="E147" s="37" t="s">
        <v>451</v>
      </c>
      <c r="F147" s="37"/>
      <c r="G147" s="37" t="s">
        <v>865</v>
      </c>
      <c r="H147" s="37"/>
      <c r="I147" s="37"/>
      <c r="J147" s="37"/>
      <c r="K147" s="40"/>
      <c r="L147" s="38">
        <v>19956</v>
      </c>
      <c r="M147" s="37" t="s">
        <v>735</v>
      </c>
      <c r="N147" s="9">
        <f>SUM(B147:L148)</f>
        <v>75607</v>
      </c>
      <c r="O147" s="3"/>
      <c r="P147" s="3"/>
      <c r="Q147" s="3"/>
      <c r="R147" s="3"/>
      <c r="S147" s="3"/>
      <c r="T147" s="3"/>
      <c r="U147" s="3"/>
    </row>
    <row r="148" spans="1:21">
      <c r="A148" s="38"/>
      <c r="B148" s="38"/>
      <c r="C148" s="38">
        <v>45940</v>
      </c>
      <c r="D148" s="38">
        <v>4669</v>
      </c>
      <c r="E148" s="38">
        <v>5042</v>
      </c>
      <c r="F148" s="38"/>
      <c r="G148" s="38"/>
      <c r="H148" s="38"/>
      <c r="I148" s="38"/>
      <c r="J148" s="38"/>
      <c r="K148" s="38"/>
      <c r="L148" s="38"/>
      <c r="M148" s="41"/>
      <c r="N148" s="3"/>
      <c r="O148" s="3"/>
      <c r="P148" s="3"/>
      <c r="Q148" s="3"/>
      <c r="R148" s="3"/>
      <c r="S148" s="3"/>
      <c r="T148" s="3"/>
      <c r="U148" s="3"/>
    </row>
    <row r="149" spans="1:2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>
      <c r="A150" s="11" t="s">
        <v>39</v>
      </c>
      <c r="B150" s="8" t="s">
        <v>880</v>
      </c>
      <c r="C150" s="8" t="s">
        <v>797</v>
      </c>
      <c r="D150" s="8"/>
      <c r="E150" s="8"/>
      <c r="F150" s="8"/>
      <c r="G150" s="8"/>
      <c r="H150" s="8"/>
      <c r="I150" s="8"/>
      <c r="J150" s="8"/>
      <c r="K150" s="8"/>
      <c r="L150" s="9">
        <v>11456</v>
      </c>
      <c r="M150" s="8" t="s">
        <v>737</v>
      </c>
      <c r="N150" s="9">
        <f>SUM(B150:L151)</f>
        <v>85921</v>
      </c>
      <c r="O150" s="3"/>
      <c r="P150" s="3"/>
      <c r="Q150" s="3"/>
      <c r="R150" s="3"/>
      <c r="S150" s="3"/>
      <c r="T150" s="3"/>
      <c r="U150" s="3"/>
    </row>
    <row r="151" spans="1:21">
      <c r="A151" s="9"/>
      <c r="B151" s="9">
        <v>22153</v>
      </c>
      <c r="C151" s="9">
        <v>52312</v>
      </c>
      <c r="D151" s="9"/>
      <c r="E151" s="9"/>
      <c r="F151" s="9"/>
      <c r="G151" s="9"/>
      <c r="H151" s="9"/>
      <c r="I151" s="9"/>
      <c r="J151" s="9"/>
      <c r="K151" s="9"/>
      <c r="L151" s="9"/>
      <c r="M151" s="11"/>
      <c r="N151" s="3"/>
      <c r="O151" s="3"/>
      <c r="P151" s="3"/>
      <c r="Q151" s="3"/>
      <c r="R151" s="3"/>
      <c r="S151" s="3"/>
      <c r="T151" s="3"/>
      <c r="U151" s="3"/>
    </row>
    <row r="152" spans="1:2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>
      <c r="A153" s="41" t="s">
        <v>43</v>
      </c>
      <c r="B153" s="37" t="s">
        <v>881</v>
      </c>
      <c r="C153" s="37" t="s">
        <v>87</v>
      </c>
      <c r="D153" s="37" t="s">
        <v>87</v>
      </c>
      <c r="E153" s="37" t="s">
        <v>87</v>
      </c>
      <c r="F153" s="37"/>
      <c r="G153" s="37" t="s">
        <v>865</v>
      </c>
      <c r="H153" s="37"/>
      <c r="I153" s="37"/>
      <c r="J153" s="37"/>
      <c r="K153" s="37"/>
      <c r="L153" s="38">
        <v>8334</v>
      </c>
      <c r="M153" s="37" t="s">
        <v>40</v>
      </c>
      <c r="N153" s="9">
        <f>SUM(B153:L154)</f>
        <v>98217</v>
      </c>
      <c r="O153" s="3"/>
      <c r="P153" s="3"/>
      <c r="Q153" s="3"/>
      <c r="R153" s="3"/>
      <c r="S153" s="3"/>
      <c r="T153" s="3"/>
      <c r="U153" s="3"/>
    </row>
    <row r="154" spans="1:21">
      <c r="A154" s="38"/>
      <c r="B154" s="41">
        <v>18054</v>
      </c>
      <c r="C154" s="38">
        <v>57339</v>
      </c>
      <c r="D154" s="38">
        <v>5888</v>
      </c>
      <c r="E154" s="38">
        <v>8602</v>
      </c>
      <c r="F154" s="38"/>
      <c r="G154" s="38"/>
      <c r="H154" s="38"/>
      <c r="I154" s="38"/>
      <c r="J154" s="38"/>
      <c r="K154" s="38"/>
      <c r="L154" s="38"/>
      <c r="M154" s="41"/>
      <c r="N154" s="3"/>
      <c r="O154" s="3"/>
      <c r="P154" s="3"/>
      <c r="Q154" s="3"/>
      <c r="R154" s="3"/>
      <c r="S154" s="3"/>
      <c r="T154" s="3"/>
      <c r="U154" s="3"/>
    </row>
    <row r="155" spans="1:21">
      <c r="A155" s="9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9"/>
      <c r="M155" s="9"/>
      <c r="N155" s="3"/>
      <c r="O155" s="3"/>
      <c r="P155" s="3"/>
      <c r="Q155" s="3"/>
      <c r="R155" s="3"/>
      <c r="S155" s="3"/>
      <c r="T155" s="3"/>
      <c r="U155" s="3"/>
    </row>
    <row r="156" spans="1:21">
      <c r="A156" s="11" t="s">
        <v>46</v>
      </c>
      <c r="B156" s="8"/>
      <c r="C156" s="8" t="s">
        <v>88</v>
      </c>
      <c r="D156" s="8" t="s">
        <v>88</v>
      </c>
      <c r="E156" s="8" t="s">
        <v>88</v>
      </c>
      <c r="F156" s="8"/>
      <c r="G156" s="8"/>
      <c r="H156" s="8"/>
      <c r="I156" s="8"/>
      <c r="J156" s="8"/>
      <c r="K156" s="8"/>
      <c r="L156" s="9">
        <v>25006</v>
      </c>
      <c r="M156" s="8" t="s">
        <v>44</v>
      </c>
      <c r="N156" s="9">
        <f>SUM(B156:L157)</f>
        <v>91317</v>
      </c>
      <c r="O156" s="3"/>
      <c r="P156" s="3"/>
      <c r="Q156" s="3"/>
      <c r="R156" s="3"/>
      <c r="S156" s="3"/>
      <c r="T156" s="3"/>
      <c r="U156" s="3"/>
    </row>
    <row r="157" spans="1:21">
      <c r="A157" s="9"/>
      <c r="B157" s="9"/>
      <c r="C157" s="9">
        <v>52134</v>
      </c>
      <c r="D157" s="9">
        <v>5449</v>
      </c>
      <c r="E157" s="9">
        <v>8728</v>
      </c>
      <c r="F157" s="9"/>
      <c r="G157" s="9"/>
      <c r="H157" s="9"/>
      <c r="I157" s="9"/>
      <c r="J157" s="9"/>
      <c r="K157" s="9"/>
      <c r="L157" s="9"/>
      <c r="M157" s="11"/>
      <c r="N157" s="3"/>
      <c r="O157" s="3"/>
      <c r="P157" s="3"/>
      <c r="Q157" s="3"/>
      <c r="R157" s="3"/>
      <c r="S157" s="3"/>
      <c r="T157" s="3"/>
      <c r="U157" s="3"/>
    </row>
    <row r="158" spans="1:21">
      <c r="A158" s="9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9"/>
      <c r="M158" s="9"/>
      <c r="N158" s="3"/>
      <c r="O158" s="3"/>
      <c r="P158" s="3"/>
      <c r="Q158" s="3"/>
      <c r="R158" s="3"/>
      <c r="S158" s="3"/>
      <c r="T158" s="3"/>
      <c r="U158" s="3"/>
    </row>
    <row r="159" spans="1:21">
      <c r="A159" s="41" t="s">
        <v>48</v>
      </c>
      <c r="B159" s="37"/>
      <c r="C159" s="37" t="s">
        <v>418</v>
      </c>
      <c r="D159" s="37" t="s">
        <v>418</v>
      </c>
      <c r="E159" s="37"/>
      <c r="F159" s="37"/>
      <c r="G159" s="37"/>
      <c r="H159" s="37"/>
      <c r="I159" s="37"/>
      <c r="J159" s="37"/>
      <c r="K159" s="37"/>
      <c r="L159" s="38">
        <v>30234</v>
      </c>
      <c r="M159" s="37" t="s">
        <v>419</v>
      </c>
      <c r="N159" s="9">
        <f>SUM(B159:L160)</f>
        <v>94259</v>
      </c>
      <c r="O159" s="3"/>
      <c r="P159" s="3"/>
      <c r="Q159" s="3"/>
      <c r="R159" s="3"/>
      <c r="S159" s="3"/>
      <c r="T159" s="3"/>
      <c r="U159" s="3"/>
    </row>
    <row r="160" spans="1:21">
      <c r="A160" s="38"/>
      <c r="B160" s="38"/>
      <c r="C160" s="38">
        <v>57069</v>
      </c>
      <c r="D160" s="38">
        <v>6956</v>
      </c>
      <c r="E160" s="38"/>
      <c r="F160" s="38"/>
      <c r="G160" s="38"/>
      <c r="H160" s="38"/>
      <c r="I160" s="38"/>
      <c r="J160" s="38"/>
      <c r="K160" s="38"/>
      <c r="L160" s="38"/>
      <c r="M160" s="41"/>
      <c r="N160" s="3"/>
      <c r="O160" s="3"/>
      <c r="P160" s="3"/>
      <c r="Q160" s="3"/>
      <c r="R160" s="3"/>
      <c r="S160" s="3"/>
      <c r="T160" s="3"/>
      <c r="U160" s="3"/>
    </row>
    <row r="161" spans="1:21">
      <c r="A161" s="9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9"/>
      <c r="M161" s="9"/>
      <c r="N161" s="3"/>
      <c r="O161" s="3"/>
      <c r="P161" s="3"/>
      <c r="Q161" s="3"/>
      <c r="R161" s="3"/>
      <c r="S161" s="3"/>
      <c r="T161" s="3"/>
      <c r="U161" s="3"/>
    </row>
    <row r="162" spans="1:21">
      <c r="A162" s="11" t="s">
        <v>50</v>
      </c>
      <c r="B162" s="8" t="s">
        <v>865</v>
      </c>
      <c r="C162" s="8" t="s">
        <v>882</v>
      </c>
      <c r="D162" s="8" t="s">
        <v>882</v>
      </c>
      <c r="E162" s="8"/>
      <c r="F162" s="8"/>
      <c r="G162" s="8" t="s">
        <v>883</v>
      </c>
      <c r="H162" s="8"/>
      <c r="I162" s="8"/>
      <c r="J162" s="8"/>
      <c r="K162" s="8"/>
      <c r="L162" s="9">
        <v>24481</v>
      </c>
      <c r="M162" s="8" t="s">
        <v>884</v>
      </c>
      <c r="N162" s="9">
        <f>SUM(B162:L163)</f>
        <v>83280</v>
      </c>
      <c r="O162" s="3"/>
      <c r="P162" s="3"/>
      <c r="Q162" s="3"/>
      <c r="R162" s="3"/>
      <c r="S162" s="3"/>
      <c r="T162" s="3"/>
      <c r="U162" s="3"/>
    </row>
    <row r="163" spans="1:21">
      <c r="A163" s="9"/>
      <c r="B163" s="11" t="s">
        <v>865</v>
      </c>
      <c r="C163" s="9">
        <v>50976</v>
      </c>
      <c r="D163" s="9">
        <v>4909</v>
      </c>
      <c r="E163" s="9"/>
      <c r="F163" s="9"/>
      <c r="G163" s="9">
        <v>2914</v>
      </c>
      <c r="H163" s="9"/>
      <c r="I163" s="9"/>
      <c r="J163" s="9"/>
      <c r="K163" s="9"/>
      <c r="L163" s="9"/>
      <c r="M163" s="11"/>
      <c r="N163" s="3"/>
      <c r="O163" s="3"/>
      <c r="P163" s="3"/>
      <c r="Q163" s="3"/>
      <c r="R163" s="3"/>
      <c r="S163" s="3"/>
      <c r="T163" s="3"/>
      <c r="U163" s="3"/>
    </row>
    <row r="164" spans="1:21">
      <c r="A164" s="9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9"/>
      <c r="M164" s="9"/>
      <c r="N164" s="3"/>
      <c r="O164" s="3"/>
      <c r="P164" s="3"/>
      <c r="Q164" s="3"/>
      <c r="R164" s="3"/>
      <c r="S164" s="3"/>
      <c r="T164" s="3"/>
      <c r="U164" s="3"/>
    </row>
    <row r="165" spans="1:21">
      <c r="A165" s="41" t="s">
        <v>51</v>
      </c>
      <c r="B165" s="37"/>
      <c r="C165" s="37" t="s">
        <v>420</v>
      </c>
      <c r="D165" s="37" t="s">
        <v>420</v>
      </c>
      <c r="E165" s="37" t="s">
        <v>420</v>
      </c>
      <c r="F165" s="37"/>
      <c r="G165" s="37" t="s">
        <v>885</v>
      </c>
      <c r="H165" s="37"/>
      <c r="I165" s="37"/>
      <c r="J165" s="37"/>
      <c r="K165" s="37"/>
      <c r="L165" s="38">
        <v>20529</v>
      </c>
      <c r="M165" s="37" t="s">
        <v>421</v>
      </c>
      <c r="N165" s="9">
        <f>SUM(B165:L166)</f>
        <v>93844</v>
      </c>
      <c r="O165" s="3"/>
      <c r="P165" s="3"/>
      <c r="Q165" s="3"/>
      <c r="R165" s="3"/>
      <c r="S165" s="3"/>
      <c r="T165" s="3"/>
      <c r="U165" s="3"/>
    </row>
    <row r="166" spans="1:21">
      <c r="A166" s="38"/>
      <c r="B166" s="38"/>
      <c r="C166" s="38">
        <v>51870</v>
      </c>
      <c r="D166" s="38">
        <v>5540</v>
      </c>
      <c r="E166" s="38">
        <v>12920</v>
      </c>
      <c r="F166" s="38"/>
      <c r="G166" s="41">
        <v>2985</v>
      </c>
      <c r="H166" s="41"/>
      <c r="I166" s="41"/>
      <c r="J166" s="41"/>
      <c r="K166" s="41"/>
      <c r="L166" s="38"/>
      <c r="M166" s="41"/>
      <c r="N166" s="3"/>
      <c r="O166" s="3"/>
      <c r="P166" s="3"/>
      <c r="Q166" s="3"/>
      <c r="R166" s="3"/>
      <c r="S166" s="3"/>
      <c r="T166" s="3"/>
      <c r="U166" s="3"/>
    </row>
    <row r="167" spans="1:21">
      <c r="A167" s="9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9"/>
      <c r="M167" s="9"/>
      <c r="N167" s="3"/>
      <c r="O167" s="3"/>
      <c r="P167" s="3"/>
      <c r="Q167" s="3"/>
      <c r="R167" s="3"/>
      <c r="S167" s="3"/>
      <c r="T167" s="3"/>
      <c r="U167" s="3"/>
    </row>
    <row r="168" spans="1:21">
      <c r="A168" s="11" t="s">
        <v>53</v>
      </c>
      <c r="B168" s="8"/>
      <c r="C168" s="8" t="s">
        <v>581</v>
      </c>
      <c r="D168" s="8" t="s">
        <v>581</v>
      </c>
      <c r="E168" s="8"/>
      <c r="F168" s="8"/>
      <c r="G168" s="8"/>
      <c r="H168" s="8"/>
      <c r="I168" s="8"/>
      <c r="J168" s="8"/>
      <c r="K168" s="8"/>
      <c r="L168" s="9">
        <v>41639</v>
      </c>
      <c r="M168" s="8" t="s">
        <v>584</v>
      </c>
      <c r="N168" s="9">
        <f>SUM(B168:L169)</f>
        <v>110543</v>
      </c>
      <c r="O168" s="3"/>
      <c r="P168" s="3"/>
      <c r="Q168" s="3"/>
      <c r="R168" s="3"/>
      <c r="S168" s="3"/>
      <c r="T168" s="3"/>
      <c r="U168" s="3"/>
    </row>
    <row r="169" spans="1:21">
      <c r="A169" s="9"/>
      <c r="B169" s="9"/>
      <c r="C169" s="9">
        <v>59344</v>
      </c>
      <c r="D169" s="9">
        <v>9560</v>
      </c>
      <c r="E169" s="9"/>
      <c r="F169" s="9"/>
      <c r="G169" s="9"/>
      <c r="H169" s="9"/>
      <c r="I169" s="9"/>
      <c r="J169" s="9"/>
      <c r="K169" s="9"/>
      <c r="L169" s="9"/>
      <c r="M169" s="11"/>
      <c r="N169" s="3"/>
      <c r="O169" s="3"/>
      <c r="P169" s="3"/>
      <c r="Q169" s="3"/>
      <c r="R169" s="3"/>
      <c r="S169" s="3"/>
      <c r="T169" s="3"/>
      <c r="U169" s="3"/>
    </row>
    <row r="170" spans="1:21">
      <c r="A170" s="9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9"/>
      <c r="M170" s="9"/>
      <c r="N170" s="3"/>
      <c r="O170" s="3"/>
      <c r="P170" s="3"/>
      <c r="Q170" s="3"/>
      <c r="R170" s="3"/>
      <c r="S170" s="3"/>
      <c r="T170" s="3"/>
      <c r="U170" s="3"/>
    </row>
    <row r="171" spans="1:21">
      <c r="A171" s="41" t="s">
        <v>55</v>
      </c>
      <c r="B171" s="37" t="s">
        <v>886</v>
      </c>
      <c r="C171" s="37" t="s">
        <v>89</v>
      </c>
      <c r="D171" s="37" t="s">
        <v>89</v>
      </c>
      <c r="E171" s="37" t="s">
        <v>89</v>
      </c>
      <c r="F171" s="37" t="s">
        <v>870</v>
      </c>
      <c r="G171" s="37"/>
      <c r="H171" s="37"/>
      <c r="I171" s="37" t="s">
        <v>903</v>
      </c>
      <c r="J171" s="37"/>
      <c r="K171" s="37"/>
      <c r="L171" s="38">
        <v>7339</v>
      </c>
      <c r="M171" s="37" t="s">
        <v>90</v>
      </c>
      <c r="N171" s="9">
        <f>SUM(B171:L172)</f>
        <v>83980</v>
      </c>
      <c r="O171" s="3"/>
      <c r="P171" s="3"/>
      <c r="Q171" s="3"/>
      <c r="R171" s="3"/>
      <c r="S171" s="3"/>
      <c r="T171" s="3"/>
      <c r="U171" s="3"/>
    </row>
    <row r="172" spans="1:21">
      <c r="A172" s="38"/>
      <c r="B172" s="40">
        <v>25773</v>
      </c>
      <c r="C172" s="40">
        <v>35706</v>
      </c>
      <c r="D172" s="40">
        <v>4123</v>
      </c>
      <c r="E172" s="40">
        <v>9730</v>
      </c>
      <c r="F172" s="38"/>
      <c r="G172" s="38"/>
      <c r="H172" s="38"/>
      <c r="I172" s="38">
        <v>1309</v>
      </c>
      <c r="J172" s="38"/>
      <c r="K172" s="38"/>
      <c r="L172" s="38"/>
      <c r="M172" s="41"/>
      <c r="N172" s="3"/>
      <c r="O172" s="3"/>
      <c r="P172" s="3"/>
      <c r="Q172" s="3"/>
      <c r="R172" s="3"/>
      <c r="S172" s="3"/>
      <c r="T172" s="3"/>
      <c r="U172" s="3"/>
    </row>
    <row r="173" spans="1:21">
      <c r="A173" s="9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9"/>
      <c r="M173" s="9"/>
      <c r="N173" s="3"/>
      <c r="O173" s="3"/>
      <c r="P173" s="3"/>
      <c r="Q173" s="3"/>
      <c r="R173" s="3"/>
      <c r="S173" s="3"/>
      <c r="T173" s="3"/>
      <c r="U173" s="3"/>
    </row>
    <row r="174" spans="1:21">
      <c r="A174" s="11" t="s">
        <v>57</v>
      </c>
      <c r="B174" s="8" t="s">
        <v>887</v>
      </c>
      <c r="C174" s="8" t="s">
        <v>804</v>
      </c>
      <c r="D174" s="8" t="s">
        <v>804</v>
      </c>
      <c r="E174" s="8" t="s">
        <v>804</v>
      </c>
      <c r="F174" s="8"/>
      <c r="G174" s="8"/>
      <c r="H174" s="8"/>
      <c r="I174" s="8"/>
      <c r="J174" s="8"/>
      <c r="K174" s="8"/>
      <c r="L174" s="9">
        <v>6858</v>
      </c>
      <c r="M174" s="8" t="s">
        <v>805</v>
      </c>
      <c r="N174" s="9">
        <f>SUM(B174:L175)</f>
        <v>80611</v>
      </c>
      <c r="O174" s="3"/>
      <c r="P174" s="3"/>
      <c r="Q174" s="3"/>
      <c r="R174" s="3"/>
      <c r="S174" s="3"/>
      <c r="T174" s="3"/>
      <c r="U174" s="3"/>
    </row>
    <row r="175" spans="1:21">
      <c r="A175" s="9"/>
      <c r="B175" s="10">
        <v>12748</v>
      </c>
      <c r="C175" s="10">
        <v>50461</v>
      </c>
      <c r="D175" s="10">
        <v>4652</v>
      </c>
      <c r="E175" s="10">
        <v>5892</v>
      </c>
      <c r="F175" s="9"/>
      <c r="G175" s="10"/>
      <c r="H175" s="10"/>
      <c r="I175" s="10"/>
      <c r="J175" s="10"/>
      <c r="K175" s="9"/>
      <c r="L175" s="9"/>
      <c r="M175" s="11"/>
      <c r="N175" s="3"/>
      <c r="O175" s="3"/>
      <c r="P175" s="3"/>
      <c r="Q175" s="3"/>
      <c r="R175" s="3"/>
      <c r="S175" s="3"/>
      <c r="T175" s="3"/>
      <c r="U175" s="3"/>
    </row>
    <row r="176" spans="1:21">
      <c r="A176" s="9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9"/>
      <c r="M176" s="9"/>
      <c r="N176" s="3"/>
      <c r="O176" s="3"/>
      <c r="P176" s="3"/>
      <c r="Q176" s="3"/>
      <c r="R176" s="3"/>
      <c r="S176" s="3"/>
      <c r="T176" s="3"/>
      <c r="U176" s="3"/>
    </row>
    <row r="177" spans="1:21">
      <c r="A177" s="41" t="s">
        <v>60</v>
      </c>
      <c r="B177" s="37" t="s">
        <v>666</v>
      </c>
      <c r="C177" s="37" t="s">
        <v>888</v>
      </c>
      <c r="D177" s="37" t="s">
        <v>666</v>
      </c>
      <c r="E177" s="37" t="s">
        <v>666</v>
      </c>
      <c r="F177" s="37" t="s">
        <v>870</v>
      </c>
      <c r="G177" s="37" t="s">
        <v>888</v>
      </c>
      <c r="H177" s="37" t="s">
        <v>588</v>
      </c>
      <c r="I177" s="37"/>
      <c r="J177" s="37"/>
      <c r="K177" s="40"/>
      <c r="L177" s="38">
        <v>16017</v>
      </c>
      <c r="M177" s="37" t="s">
        <v>667</v>
      </c>
      <c r="N177" s="9">
        <f>SUM(B177:L178)</f>
        <v>93933</v>
      </c>
      <c r="O177" s="3"/>
      <c r="P177" s="3"/>
      <c r="Q177" s="3"/>
      <c r="R177" s="3"/>
      <c r="S177" s="3"/>
      <c r="T177" s="3"/>
      <c r="U177" s="3"/>
    </row>
    <row r="178" spans="1:21">
      <c r="A178" s="38"/>
      <c r="B178" s="40">
        <v>45040</v>
      </c>
      <c r="C178" s="38">
        <v>19041</v>
      </c>
      <c r="D178" s="40">
        <v>3988</v>
      </c>
      <c r="E178" s="40">
        <v>5109</v>
      </c>
      <c r="F178" s="38"/>
      <c r="G178" s="38">
        <v>2678</v>
      </c>
      <c r="H178" s="38">
        <v>2060</v>
      </c>
      <c r="I178" s="38"/>
      <c r="J178" s="38"/>
      <c r="K178" s="38"/>
      <c r="L178" s="38"/>
      <c r="M178" s="41"/>
      <c r="N178" s="3"/>
      <c r="O178" s="3"/>
      <c r="P178" s="3"/>
      <c r="Q178" s="3"/>
      <c r="R178" s="3"/>
      <c r="S178" s="3"/>
      <c r="T178" s="3"/>
      <c r="U178" s="3"/>
    </row>
    <row r="179" spans="1:21">
      <c r="A179" s="9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9"/>
      <c r="M179" s="9"/>
      <c r="N179" s="3"/>
      <c r="O179" s="3"/>
      <c r="P179" s="3"/>
      <c r="Q179" s="3"/>
      <c r="R179" s="3"/>
      <c r="S179" s="3"/>
      <c r="T179" s="3"/>
      <c r="U179" s="3"/>
    </row>
    <row r="180" spans="1:21">
      <c r="A180" s="11" t="s">
        <v>61</v>
      </c>
      <c r="B180" s="8"/>
      <c r="C180" s="8" t="s">
        <v>670</v>
      </c>
      <c r="D180" s="8" t="s">
        <v>670</v>
      </c>
      <c r="E180" s="8" t="s">
        <v>671</v>
      </c>
      <c r="F180" s="8"/>
      <c r="G180" s="8" t="s">
        <v>870</v>
      </c>
      <c r="H180" s="8"/>
      <c r="I180" s="8"/>
      <c r="J180" s="8"/>
      <c r="K180" s="10"/>
      <c r="L180" s="9">
        <v>26455</v>
      </c>
      <c r="M180" s="8" t="s">
        <v>672</v>
      </c>
      <c r="N180" s="9">
        <f>SUM(B180:L181)</f>
        <v>97850</v>
      </c>
      <c r="O180" s="3"/>
      <c r="P180" s="3"/>
      <c r="Q180" s="3"/>
      <c r="R180" s="3"/>
      <c r="S180" s="3"/>
      <c r="T180" s="3"/>
      <c r="U180" s="3"/>
    </row>
    <row r="181" spans="1:21">
      <c r="A181" s="9"/>
      <c r="B181" s="10"/>
      <c r="C181" s="9">
        <v>54627</v>
      </c>
      <c r="D181" s="10">
        <v>6480</v>
      </c>
      <c r="E181" s="10">
        <v>10288</v>
      </c>
      <c r="F181" s="9"/>
      <c r="G181" s="9"/>
      <c r="H181" s="9"/>
      <c r="I181" s="9"/>
      <c r="J181" s="9"/>
      <c r="K181" s="9"/>
      <c r="L181" s="9"/>
      <c r="M181" s="11"/>
      <c r="N181" s="3"/>
      <c r="O181" s="3"/>
      <c r="P181" s="3"/>
      <c r="Q181" s="3"/>
      <c r="R181" s="3"/>
      <c r="S181" s="3"/>
      <c r="T181" s="3"/>
      <c r="U181" s="3"/>
    </row>
    <row r="182" spans="1:21">
      <c r="A182" s="9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9"/>
      <c r="M182" s="9"/>
      <c r="N182" s="3"/>
      <c r="O182" s="3"/>
      <c r="P182" s="3"/>
      <c r="Q182" s="3"/>
      <c r="R182" s="3"/>
      <c r="S182" s="3"/>
      <c r="T182" s="3"/>
      <c r="U182" s="3"/>
    </row>
    <row r="183" spans="1:21">
      <c r="A183" s="41" t="s">
        <v>62</v>
      </c>
      <c r="B183" s="37" t="s">
        <v>432</v>
      </c>
      <c r="C183" s="37" t="s">
        <v>592</v>
      </c>
      <c r="D183" s="37" t="s">
        <v>592</v>
      </c>
      <c r="E183" s="37"/>
      <c r="F183" s="37" t="s">
        <v>432</v>
      </c>
      <c r="G183" s="37"/>
      <c r="H183" s="37"/>
      <c r="I183" s="37"/>
      <c r="J183" s="37"/>
      <c r="K183" s="40"/>
      <c r="L183" s="38">
        <v>13440</v>
      </c>
      <c r="M183" s="37" t="s">
        <v>808</v>
      </c>
      <c r="N183" s="9">
        <f>SUM(B183:L184)</f>
        <v>79854</v>
      </c>
      <c r="O183" s="3"/>
      <c r="P183" s="3"/>
      <c r="Q183" s="3"/>
      <c r="R183" s="3"/>
      <c r="S183" s="3"/>
      <c r="T183" s="3"/>
      <c r="U183" s="3"/>
    </row>
    <row r="184" spans="1:21">
      <c r="A184" s="38"/>
      <c r="B184" s="40">
        <v>41436</v>
      </c>
      <c r="C184" s="40">
        <v>20236</v>
      </c>
      <c r="D184" s="40">
        <v>2918</v>
      </c>
      <c r="E184" s="40"/>
      <c r="F184" s="38">
        <v>1824</v>
      </c>
      <c r="G184" s="38"/>
      <c r="H184" s="38"/>
      <c r="I184" s="38"/>
      <c r="J184" s="38"/>
      <c r="K184" s="40"/>
      <c r="L184" s="38"/>
      <c r="M184" s="41"/>
      <c r="N184" s="3"/>
      <c r="O184" s="3"/>
      <c r="P184" s="3"/>
      <c r="Q184" s="3"/>
      <c r="R184" s="3"/>
      <c r="S184" s="3"/>
      <c r="T184" s="3"/>
      <c r="U184" s="3"/>
    </row>
    <row r="185" spans="1:21">
      <c r="A185" s="9"/>
      <c r="B185" s="26"/>
      <c r="C185" s="27"/>
      <c r="D185" s="27"/>
      <c r="E185" s="27"/>
      <c r="F185" s="27"/>
      <c r="G185" s="27"/>
      <c r="H185" s="27"/>
      <c r="I185" s="27"/>
      <c r="J185" s="27"/>
      <c r="K185" s="9"/>
      <c r="L185" s="9"/>
      <c r="M185" s="9"/>
      <c r="N185" s="3"/>
      <c r="O185" s="3"/>
      <c r="P185" s="3"/>
      <c r="Q185" s="3"/>
      <c r="R185" s="3"/>
      <c r="S185" s="3"/>
      <c r="T185" s="3"/>
      <c r="U185" s="3"/>
    </row>
    <row r="186" spans="1:21">
      <c r="A186" s="11" t="s">
        <v>64</v>
      </c>
      <c r="B186" s="8" t="s">
        <v>889</v>
      </c>
      <c r="C186" s="8" t="s">
        <v>744</v>
      </c>
      <c r="D186" s="8" t="s">
        <v>744</v>
      </c>
      <c r="E186" s="8" t="s">
        <v>744</v>
      </c>
      <c r="F186" s="8" t="s">
        <v>870</v>
      </c>
      <c r="G186" s="8"/>
      <c r="H186" s="8"/>
      <c r="I186" s="8"/>
      <c r="J186" s="8"/>
      <c r="K186" s="10"/>
      <c r="L186" s="9">
        <v>10729</v>
      </c>
      <c r="M186" s="8" t="s">
        <v>745</v>
      </c>
      <c r="N186" s="9">
        <f>SUM(B186:L187)</f>
        <v>103997</v>
      </c>
      <c r="O186" s="3"/>
      <c r="P186" s="3"/>
      <c r="Q186" s="3"/>
      <c r="R186" s="3"/>
      <c r="S186" s="3"/>
      <c r="T186" s="3"/>
      <c r="U186" s="3"/>
    </row>
    <row r="187" spans="1:21">
      <c r="A187" s="9"/>
      <c r="B187" s="10">
        <v>21469</v>
      </c>
      <c r="C187" s="10">
        <v>58191</v>
      </c>
      <c r="D187" s="10">
        <v>5311</v>
      </c>
      <c r="E187" s="10">
        <v>8297</v>
      </c>
      <c r="F187" s="9"/>
      <c r="G187" s="10"/>
      <c r="H187" s="10"/>
      <c r="I187" s="10"/>
      <c r="J187" s="10"/>
      <c r="K187" s="10"/>
      <c r="L187" s="9"/>
      <c r="M187" s="9"/>
      <c r="N187" s="3"/>
      <c r="O187" s="3"/>
      <c r="P187" s="3"/>
      <c r="Q187" s="3"/>
      <c r="R187" s="3"/>
      <c r="S187" s="3"/>
      <c r="T187" s="3"/>
      <c r="U187" s="3"/>
    </row>
    <row r="188" spans="1:21">
      <c r="A188" s="9"/>
      <c r="B188" s="10"/>
      <c r="C188" s="10"/>
      <c r="D188" s="10"/>
      <c r="E188" s="10"/>
      <c r="F188" s="9"/>
      <c r="G188" s="10"/>
      <c r="H188" s="10"/>
      <c r="I188" s="10"/>
      <c r="J188" s="10"/>
      <c r="K188" s="10"/>
      <c r="L188" s="9"/>
      <c r="M188" s="9"/>
      <c r="N188" s="3"/>
      <c r="O188" s="3"/>
      <c r="P188" s="3"/>
      <c r="Q188" s="3"/>
      <c r="R188" s="3"/>
      <c r="S188" s="3"/>
      <c r="T188" s="3"/>
      <c r="U188" s="3"/>
    </row>
    <row r="189" spans="1:21">
      <c r="A189" s="38" t="s">
        <v>91</v>
      </c>
      <c r="B189" s="40"/>
      <c r="C189" s="40" t="s">
        <v>506</v>
      </c>
      <c r="D189" s="40" t="s">
        <v>506</v>
      </c>
      <c r="E189" s="40" t="s">
        <v>506</v>
      </c>
      <c r="F189" s="38"/>
      <c r="G189" s="40"/>
      <c r="H189" s="40" t="s">
        <v>506</v>
      </c>
      <c r="I189" s="40"/>
      <c r="J189" s="40"/>
      <c r="K189" s="40"/>
      <c r="L189" s="38">
        <v>25157</v>
      </c>
      <c r="M189" s="40" t="s">
        <v>507</v>
      </c>
      <c r="N189" s="9">
        <f>SUM(B189:L190)</f>
        <v>90836</v>
      </c>
      <c r="O189" s="3"/>
      <c r="P189" s="3"/>
      <c r="Q189" s="3"/>
      <c r="R189" s="3"/>
      <c r="S189" s="3"/>
      <c r="T189" s="3"/>
      <c r="U189" s="3"/>
    </row>
    <row r="190" spans="1:21">
      <c r="A190" s="38"/>
      <c r="B190" s="40"/>
      <c r="C190" s="40">
        <v>47883</v>
      </c>
      <c r="D190" s="40">
        <v>5353</v>
      </c>
      <c r="E190" s="40">
        <v>10465</v>
      </c>
      <c r="F190" s="38"/>
      <c r="G190" s="40"/>
      <c r="H190" s="40">
        <v>1978</v>
      </c>
      <c r="I190" s="40"/>
      <c r="J190" s="40"/>
      <c r="K190" s="40"/>
      <c r="L190" s="38"/>
      <c r="M190" s="38"/>
      <c r="N190" s="3"/>
      <c r="O190" s="3"/>
      <c r="P190" s="3"/>
      <c r="Q190" s="3"/>
      <c r="R190" s="3"/>
      <c r="S190" s="3"/>
      <c r="T190" s="3"/>
      <c r="U190" s="3"/>
    </row>
    <row r="191" spans="1:2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3"/>
      <c r="O191" s="3"/>
      <c r="P191" s="3"/>
      <c r="Q191" s="3"/>
      <c r="R191" s="3"/>
      <c r="S191" s="3"/>
      <c r="T191" s="3"/>
      <c r="U191" s="3"/>
    </row>
    <row r="192" spans="1:21">
      <c r="A192" s="11" t="s">
        <v>66</v>
      </c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>
      <c r="A193" s="9" t="s">
        <v>812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>
      <c r="A194" s="9" t="s">
        <v>813</v>
      </c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>
      <c r="A195" s="9" t="s">
        <v>890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>
      <c r="A196" s="9" t="s">
        <v>815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>
      <c r="A197" s="9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>
      <c r="A198" s="72" t="s">
        <v>751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>
      <c r="A199" s="9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>
      <c r="A200" s="9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</sheetData>
  <hyperlinks>
    <hyperlink ref="A198" r:id="rId1"/>
  </hyperlinks>
  <pageMargins left="0.7" right="0.7" top="0.75" bottom="0.75" header="0.3" footer="0.3"/>
  <pageSetup paperSize="5" scale="64" fitToHeight="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2018</vt:lpstr>
      <vt:lpstr>2016</vt:lpstr>
      <vt:lpstr>2014</vt:lpstr>
      <vt:lpstr>2012</vt:lpstr>
      <vt:lpstr>2010</vt:lpstr>
      <vt:lpstr>2008</vt:lpstr>
      <vt:lpstr>2006</vt:lpstr>
      <vt:lpstr>2004</vt:lpstr>
      <vt:lpstr>2002</vt:lpstr>
      <vt:lpstr>2000</vt:lpstr>
      <vt:lpstr>1998</vt:lpstr>
      <vt:lpstr>1996</vt:lpstr>
      <vt:lpstr>'1996'!Print_Area</vt:lpstr>
      <vt:lpstr>'1998'!Print_Area</vt:lpstr>
      <vt:lpstr>'2000'!Print_Area</vt:lpstr>
      <vt:lpstr>'2002'!Print_Area</vt:lpstr>
      <vt:lpstr>'2004'!Print_Area</vt:lpstr>
      <vt:lpstr>'2006'!Print_Area</vt:lpstr>
      <vt:lpstr>'2010'!Print_Area</vt:lpstr>
      <vt:lpstr>'2012'!Print_Area</vt:lpstr>
      <vt:lpstr>'2016'!Print_Area</vt:lpstr>
      <vt:lpstr>'2018'!Print_Area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Charbonneau, Michele</dc:creator>
  <cp:lastModifiedBy>Charbonneau, Michele</cp:lastModifiedBy>
  <cp:lastPrinted>2019-07-25T14:08:42Z</cp:lastPrinted>
  <dcterms:created xsi:type="dcterms:W3CDTF">2000-06-20T17:03:39Z</dcterms:created>
  <dcterms:modified xsi:type="dcterms:W3CDTF">2022-03-01T13:48:19Z</dcterms:modified>
</cp:coreProperties>
</file>