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Elections (D)\"/>
    </mc:Choice>
  </mc:AlternateContent>
  <bookViews>
    <workbookView xWindow="0" yWindow="0" windowWidth="28800" windowHeight="11835"/>
  </bookViews>
  <sheets>
    <sheet name="2018" sheetId="3" r:id="rId1"/>
    <sheet name="2016" sheetId="2" r:id="rId2"/>
    <sheet name="2014" sheetId="4" r:id="rId3"/>
    <sheet name="2012" sheetId="5" r:id="rId4"/>
    <sheet name="2010" sheetId="6" r:id="rId5"/>
    <sheet name="2008" sheetId="7" r:id="rId6"/>
    <sheet name="2006" sheetId="8" r:id="rId7"/>
    <sheet name="2004" sheetId="9" r:id="rId8"/>
    <sheet name="2002" sheetId="10" r:id="rId9"/>
    <sheet name="2000" sheetId="11" r:id="rId10"/>
    <sheet name="1998" sheetId="12" r:id="rId11"/>
    <sheet name="1996" sheetId="13" r:id="rId12"/>
  </sheets>
  <definedNames>
    <definedName name="_xlnm.Print_Area" localSheetId="11">'1996'!$A$1:$K$493</definedName>
    <definedName name="_xlnm.Print_Area" localSheetId="10">'1998'!$A$1:$M$478</definedName>
    <definedName name="_xlnm.Print_Area" localSheetId="9">'2000'!$A$1:$N$487</definedName>
    <definedName name="_xlnm.Print_Area" localSheetId="8">'2002'!$A$1:$M$472</definedName>
    <definedName name="_xlnm.Print_Area" localSheetId="7">'2004'!$A$1:$K$510</definedName>
    <definedName name="_xlnm.Print_Area" localSheetId="6">'2006'!$A$1:$K$486</definedName>
    <definedName name="_xlnm.Print_Area" localSheetId="5">'2008'!$A$1:$I$468</definedName>
    <definedName name="_xlnm.Print_Area" localSheetId="4">'2010'!$A$1:$K$474</definedName>
    <definedName name="_xlnm.Print_Area" localSheetId="3">'2012'!$A$1:$K$477</definedName>
    <definedName name="_xlnm.Print_Area" localSheetId="2">'2014'!$A$1:$L$473</definedName>
    <definedName name="_xlnm.Print_Area" localSheetId="1">'2016'!$A$1:$M$497</definedName>
    <definedName name="_xlnm.Print_Area" localSheetId="0">'2018'!$A$1:$M$460</definedName>
  </definedNames>
  <calcPr calcId="162913"/>
</workbook>
</file>

<file path=xl/calcChain.xml><?xml version="1.0" encoding="utf-8"?>
<calcChain xmlns="http://schemas.openxmlformats.org/spreadsheetml/2006/main">
  <c r="L36" i="2" l="1"/>
  <c r="N36" i="2" s="1"/>
  <c r="N461" i="2"/>
  <c r="N353" i="2"/>
  <c r="L353" i="2"/>
  <c r="L335" i="2"/>
  <c r="N335" i="2" s="1"/>
  <c r="N266" i="2"/>
  <c r="L266" i="2"/>
  <c r="L245" i="2"/>
  <c r="L137" i="2"/>
  <c r="L66" i="2"/>
  <c r="L42" i="2"/>
  <c r="N42" i="2" s="1"/>
  <c r="L21" i="2"/>
  <c r="N21" i="2" s="1"/>
  <c r="N456" i="10"/>
  <c r="N453" i="10"/>
  <c r="N450" i="10"/>
  <c r="N447" i="10"/>
  <c r="N444" i="10"/>
  <c r="N441" i="10"/>
  <c r="N438" i="10"/>
  <c r="N435" i="10"/>
  <c r="N432" i="10"/>
  <c r="N429" i="10"/>
  <c r="N426" i="10"/>
  <c r="N423" i="10"/>
  <c r="N420" i="10"/>
  <c r="N417" i="10"/>
  <c r="N414" i="10"/>
  <c r="N411" i="10"/>
  <c r="N408" i="10"/>
  <c r="N405" i="10"/>
  <c r="N402" i="10"/>
  <c r="N399" i="10"/>
  <c r="N396" i="10"/>
  <c r="N393" i="10"/>
  <c r="N390" i="10"/>
  <c r="N387" i="10"/>
  <c r="N384" i="10"/>
  <c r="N381" i="10"/>
  <c r="N378" i="10"/>
  <c r="N375" i="10"/>
  <c r="N372" i="10"/>
  <c r="N369" i="10"/>
  <c r="N366" i="10"/>
  <c r="N363" i="10"/>
  <c r="N360" i="10"/>
  <c r="N357" i="10"/>
  <c r="N354" i="10"/>
  <c r="N351" i="10"/>
  <c r="N348" i="10"/>
  <c r="N345" i="10"/>
  <c r="N342" i="10"/>
  <c r="N339" i="10"/>
  <c r="N336" i="10"/>
  <c r="N333" i="10"/>
  <c r="N330" i="10"/>
  <c r="N327" i="10"/>
  <c r="N324" i="10"/>
  <c r="N321" i="10"/>
  <c r="N318" i="10"/>
  <c r="N315" i="10"/>
  <c r="N312" i="10"/>
  <c r="N309" i="10"/>
  <c r="N306" i="10"/>
  <c r="N303" i="10"/>
  <c r="N300" i="10"/>
  <c r="N297" i="10"/>
  <c r="N294" i="10"/>
  <c r="N291" i="10"/>
  <c r="N288" i="10"/>
  <c r="N285" i="10"/>
  <c r="N282" i="10"/>
  <c r="N279" i="10"/>
  <c r="N276" i="10"/>
  <c r="N273" i="10"/>
  <c r="N270" i="10"/>
  <c r="N267" i="10"/>
  <c r="N264" i="10"/>
  <c r="N261" i="10"/>
  <c r="N258" i="10"/>
  <c r="N255" i="10"/>
  <c r="N252" i="10"/>
  <c r="N249" i="10"/>
  <c r="N246" i="10"/>
  <c r="N243" i="10"/>
  <c r="N240" i="10"/>
  <c r="N159" i="10"/>
  <c r="N156" i="10"/>
  <c r="N153" i="10"/>
  <c r="N150" i="10"/>
  <c r="N147" i="10"/>
  <c r="N144" i="10"/>
  <c r="N141" i="10"/>
  <c r="N138" i="10"/>
  <c r="N135" i="10"/>
  <c r="N132" i="10"/>
  <c r="N129" i="10"/>
  <c r="N126" i="10"/>
  <c r="N123" i="10"/>
  <c r="N120" i="10"/>
  <c r="N117" i="10"/>
  <c r="N114" i="10"/>
  <c r="N111" i="10"/>
  <c r="N108" i="10"/>
  <c r="N105" i="10"/>
  <c r="N102" i="10"/>
  <c r="N99" i="10"/>
  <c r="N96" i="10"/>
  <c r="N93" i="10"/>
  <c r="N90" i="10"/>
  <c r="N87" i="10"/>
  <c r="N84" i="10"/>
  <c r="N81" i="10"/>
  <c r="N78" i="10"/>
  <c r="N75" i="10"/>
  <c r="N72" i="10"/>
  <c r="N69" i="10"/>
  <c r="N66" i="10"/>
  <c r="N63" i="10"/>
  <c r="N60" i="10"/>
  <c r="N57" i="10"/>
  <c r="N54" i="10"/>
  <c r="N51" i="10"/>
  <c r="N48" i="10"/>
  <c r="N45" i="10"/>
  <c r="N42" i="10"/>
  <c r="N39" i="10"/>
  <c r="N36" i="10"/>
  <c r="N33" i="10"/>
  <c r="N30" i="10"/>
  <c r="N27" i="10"/>
  <c r="N24" i="10"/>
  <c r="N21" i="10"/>
  <c r="N18" i="10"/>
  <c r="N15" i="10"/>
  <c r="N12" i="10"/>
  <c r="N9" i="10"/>
  <c r="N6" i="10"/>
  <c r="L486" i="9"/>
  <c r="L483" i="9"/>
  <c r="L480" i="9"/>
  <c r="L477" i="9"/>
  <c r="L474" i="9"/>
  <c r="L471" i="9"/>
  <c r="L468" i="9"/>
  <c r="L465" i="9"/>
  <c r="L462" i="9"/>
  <c r="L459" i="9"/>
  <c r="L456" i="9"/>
  <c r="L453" i="9"/>
  <c r="L450" i="9"/>
  <c r="L447" i="9"/>
  <c r="L444" i="9"/>
  <c r="L441" i="9"/>
  <c r="L438" i="9"/>
  <c r="L435" i="9"/>
  <c r="L432" i="9"/>
  <c r="L429" i="9"/>
  <c r="L426" i="9"/>
  <c r="L423" i="9"/>
  <c r="L420" i="9"/>
  <c r="L417" i="9"/>
  <c r="L414" i="9"/>
  <c r="L411" i="9"/>
  <c r="L408" i="9"/>
  <c r="L405" i="9"/>
  <c r="L402" i="9"/>
  <c r="L399" i="9"/>
  <c r="L396" i="9"/>
  <c r="L393" i="9"/>
  <c r="L390" i="9"/>
  <c r="L387" i="9"/>
  <c r="L384" i="9"/>
  <c r="L381" i="9"/>
  <c r="L378" i="9"/>
  <c r="L375" i="9"/>
  <c r="L372" i="9"/>
  <c r="L369" i="9"/>
  <c r="L366" i="9"/>
  <c r="L363" i="9"/>
  <c r="L360" i="9"/>
  <c r="L357" i="9"/>
  <c r="L354" i="9"/>
  <c r="L351" i="9"/>
  <c r="L348" i="9"/>
  <c r="L345" i="9"/>
  <c r="L342" i="9"/>
  <c r="L339" i="9"/>
  <c r="L336" i="9"/>
  <c r="L333" i="9"/>
  <c r="L330" i="9"/>
  <c r="L327" i="9"/>
  <c r="L324" i="9"/>
  <c r="L321" i="9"/>
  <c r="L318" i="9"/>
  <c r="L315" i="9"/>
  <c r="L312" i="9"/>
  <c r="L309" i="9"/>
  <c r="L306" i="9"/>
  <c r="L303" i="9"/>
  <c r="L300" i="9"/>
  <c r="L297" i="9"/>
  <c r="L294" i="9"/>
  <c r="L291" i="9"/>
  <c r="L288" i="9"/>
  <c r="L285" i="9"/>
  <c r="L282" i="9"/>
  <c r="L279" i="9"/>
  <c r="L276" i="9"/>
  <c r="L273" i="9"/>
  <c r="L270" i="9"/>
  <c r="L267" i="9"/>
  <c r="L264" i="9"/>
  <c r="L261" i="9"/>
  <c r="L258" i="9"/>
  <c r="L255" i="9"/>
  <c r="L252" i="9"/>
  <c r="L249" i="9"/>
  <c r="L246" i="9"/>
  <c r="L243" i="9"/>
  <c r="L240" i="9"/>
  <c r="L237" i="9"/>
  <c r="L234" i="9"/>
  <c r="L231" i="9"/>
  <c r="L228" i="9"/>
  <c r="L225" i="9"/>
  <c r="L222" i="9"/>
  <c r="L219" i="9"/>
  <c r="L216" i="9"/>
  <c r="L213" i="9"/>
  <c r="L210" i="9"/>
  <c r="L207" i="9"/>
  <c r="L204" i="9"/>
  <c r="L201" i="9"/>
  <c r="L198" i="9"/>
  <c r="L195" i="9"/>
  <c r="L192" i="9"/>
  <c r="L189" i="9"/>
  <c r="L186" i="9"/>
  <c r="L183" i="9"/>
  <c r="L180" i="9"/>
  <c r="L177" i="9"/>
  <c r="L174" i="9"/>
  <c r="L171" i="9"/>
  <c r="L168" i="9"/>
  <c r="L165" i="9"/>
  <c r="L162" i="9"/>
  <c r="L159" i="9"/>
  <c r="L156" i="9"/>
  <c r="L153" i="9"/>
  <c r="L150" i="9"/>
  <c r="L147" i="9"/>
  <c r="L144" i="9"/>
  <c r="L141" i="9"/>
  <c r="L138" i="9"/>
  <c r="L135" i="9"/>
  <c r="L132" i="9"/>
  <c r="L129" i="9"/>
  <c r="L126" i="9"/>
  <c r="L123" i="9"/>
  <c r="L120" i="9"/>
  <c r="L117" i="9"/>
  <c r="L114" i="9"/>
  <c r="L111" i="9"/>
  <c r="L108" i="9"/>
  <c r="L105" i="9"/>
  <c r="L102" i="9"/>
  <c r="L99" i="9"/>
  <c r="L96" i="9"/>
  <c r="L93" i="9"/>
  <c r="L90" i="9"/>
  <c r="L87" i="9"/>
  <c r="L84" i="9"/>
  <c r="L81" i="9"/>
  <c r="L78" i="9"/>
  <c r="L75" i="9"/>
  <c r="L72" i="9"/>
  <c r="L69" i="9"/>
  <c r="L66" i="9"/>
  <c r="L63" i="9"/>
  <c r="L60" i="9"/>
  <c r="L57" i="9"/>
  <c r="L54" i="9"/>
  <c r="L51" i="9"/>
  <c r="L48" i="9"/>
  <c r="L45" i="9"/>
  <c r="L42" i="9"/>
  <c r="L39" i="9"/>
  <c r="L36" i="9"/>
  <c r="L33" i="9"/>
  <c r="L30" i="9"/>
  <c r="L27" i="9"/>
  <c r="L24" i="9"/>
  <c r="L21" i="9"/>
  <c r="L18" i="9"/>
  <c r="L15" i="9"/>
  <c r="L12" i="9"/>
  <c r="L9" i="9"/>
  <c r="L6" i="9"/>
  <c r="J461" i="7" l="1"/>
  <c r="J458" i="7"/>
  <c r="J455" i="7"/>
  <c r="J452" i="7"/>
  <c r="J449" i="7"/>
  <c r="J446" i="7"/>
  <c r="J443" i="7"/>
  <c r="J440" i="7"/>
  <c r="J437" i="7"/>
  <c r="J434" i="7"/>
  <c r="J431" i="7"/>
  <c r="J428" i="7"/>
  <c r="J425" i="7"/>
  <c r="J422" i="7"/>
  <c r="J419" i="7"/>
  <c r="J416" i="7"/>
  <c r="J413" i="7"/>
  <c r="J410" i="7"/>
  <c r="J407" i="7"/>
  <c r="J326" i="7"/>
  <c r="J323" i="7"/>
  <c r="J320" i="7"/>
  <c r="J317" i="7"/>
  <c r="J314" i="7"/>
  <c r="J311" i="7"/>
  <c r="J308" i="7"/>
  <c r="J305" i="7"/>
  <c r="J302" i="7"/>
  <c r="J299" i="7"/>
  <c r="J296" i="7"/>
  <c r="J293" i="7"/>
  <c r="J290" i="7"/>
  <c r="J287" i="7"/>
  <c r="J284" i="7"/>
  <c r="J281" i="7"/>
  <c r="J278" i="7"/>
  <c r="J275" i="7"/>
  <c r="J272" i="7"/>
  <c r="J269" i="7"/>
  <c r="J266" i="7"/>
  <c r="J263" i="7"/>
  <c r="J260" i="7"/>
  <c r="J257" i="7"/>
  <c r="J254" i="7"/>
  <c r="J251" i="7"/>
  <c r="J248" i="7"/>
  <c r="J245" i="7"/>
  <c r="J242" i="7"/>
  <c r="J239" i="7"/>
  <c r="J236" i="7"/>
  <c r="J233" i="7"/>
  <c r="J230" i="7"/>
  <c r="J227" i="7"/>
  <c r="J224" i="7"/>
  <c r="J221" i="7"/>
  <c r="J218" i="7"/>
  <c r="J215" i="7"/>
  <c r="J212" i="7"/>
  <c r="J209" i="7"/>
  <c r="J206" i="7"/>
  <c r="J203" i="7"/>
  <c r="J200" i="7"/>
  <c r="J197" i="7"/>
  <c r="J194" i="7"/>
  <c r="J191" i="7"/>
  <c r="J188" i="7"/>
  <c r="J185" i="7"/>
  <c r="J182" i="7"/>
  <c r="J179" i="7"/>
  <c r="J176" i="7"/>
  <c r="J173" i="7"/>
  <c r="J170" i="7"/>
  <c r="J167" i="7"/>
  <c r="J163" i="7"/>
  <c r="J160" i="7"/>
  <c r="J157" i="7"/>
  <c r="J154" i="7"/>
  <c r="J151" i="7"/>
  <c r="J148" i="7"/>
  <c r="J145" i="7"/>
  <c r="J142" i="7"/>
  <c r="J139" i="7"/>
  <c r="J136" i="7"/>
  <c r="J133" i="7"/>
  <c r="J130" i="7"/>
  <c r="J127" i="7"/>
  <c r="J124" i="7"/>
  <c r="J121" i="7"/>
  <c r="J118" i="7"/>
  <c r="J115" i="7"/>
  <c r="J112" i="7"/>
  <c r="J109" i="7"/>
  <c r="J106" i="7"/>
  <c r="J103" i="7"/>
  <c r="J100" i="7"/>
  <c r="J97" i="7"/>
  <c r="J94" i="7"/>
  <c r="J91" i="7"/>
  <c r="J88" i="7"/>
  <c r="J85" i="7"/>
  <c r="J82" i="7"/>
  <c r="J79" i="7"/>
  <c r="J76" i="7"/>
  <c r="J73" i="7"/>
  <c r="J70" i="7"/>
  <c r="J67" i="7"/>
  <c r="J64" i="7"/>
  <c r="J61" i="7"/>
  <c r="J58" i="7"/>
  <c r="J55" i="7"/>
  <c r="J52" i="7"/>
  <c r="J49" i="7"/>
  <c r="J46" i="7"/>
  <c r="J43" i="7"/>
  <c r="J40" i="7"/>
  <c r="J37" i="7"/>
  <c r="J33" i="7"/>
  <c r="J30" i="7"/>
  <c r="J27" i="7"/>
  <c r="J24" i="7"/>
  <c r="J21" i="7"/>
  <c r="J18" i="7"/>
  <c r="J15" i="7"/>
  <c r="J12" i="7"/>
  <c r="J9" i="7"/>
  <c r="J6" i="7"/>
  <c r="L456" i="6"/>
  <c r="L453" i="6"/>
  <c r="L450" i="6"/>
  <c r="L447" i="6"/>
  <c r="L444" i="6"/>
  <c r="L441" i="6"/>
  <c r="L438" i="6"/>
  <c r="L435" i="6"/>
  <c r="L432" i="6"/>
  <c r="L429" i="6"/>
  <c r="L426" i="6"/>
  <c r="L423" i="6"/>
  <c r="L420" i="6"/>
  <c r="L417" i="6"/>
  <c r="L414" i="6"/>
  <c r="L411" i="6"/>
  <c r="L408" i="6"/>
  <c r="L405" i="6"/>
  <c r="L402" i="6"/>
  <c r="L399" i="6"/>
  <c r="L396" i="6"/>
  <c r="L393" i="6"/>
  <c r="L390" i="6"/>
  <c r="L387" i="6"/>
  <c r="L384" i="6"/>
  <c r="L381" i="6"/>
  <c r="L378" i="6"/>
  <c r="L375" i="6"/>
  <c r="L372" i="6"/>
  <c r="L369" i="6"/>
  <c r="L366" i="6"/>
  <c r="L363" i="6"/>
  <c r="L360" i="6"/>
  <c r="L357" i="6"/>
  <c r="L354" i="6"/>
  <c r="L351" i="6"/>
  <c r="L348" i="6"/>
  <c r="L345" i="6"/>
  <c r="L342" i="6"/>
  <c r="L339" i="6"/>
  <c r="L336" i="6"/>
  <c r="L333" i="6"/>
  <c r="L330" i="6"/>
  <c r="L327" i="6"/>
  <c r="L324" i="6"/>
  <c r="L321" i="6"/>
  <c r="L318" i="6"/>
  <c r="L315" i="6"/>
  <c r="L312" i="6"/>
  <c r="L309" i="6"/>
  <c r="L306" i="6"/>
  <c r="L303" i="6"/>
  <c r="L300" i="6"/>
  <c r="L297" i="6"/>
  <c r="L294" i="6"/>
  <c r="L291" i="6"/>
  <c r="L288" i="6"/>
  <c r="L285" i="6"/>
  <c r="L282" i="6"/>
  <c r="L279" i="6"/>
  <c r="L276" i="6"/>
  <c r="L273" i="6"/>
  <c r="L270" i="6"/>
  <c r="L267" i="6"/>
  <c r="L264" i="6"/>
  <c r="L261" i="6"/>
  <c r="L258" i="6"/>
  <c r="L255" i="6"/>
  <c r="L252" i="6"/>
  <c r="L249" i="6"/>
  <c r="L246" i="6"/>
  <c r="L243" i="6"/>
  <c r="L240" i="6"/>
  <c r="L237" i="6"/>
  <c r="L234" i="6"/>
  <c r="L231" i="6"/>
  <c r="L228" i="6"/>
  <c r="L225" i="6"/>
  <c r="L222" i="6"/>
  <c r="L219" i="6"/>
  <c r="L216" i="6"/>
  <c r="L213" i="6"/>
  <c r="L210" i="6"/>
  <c r="L207" i="6"/>
  <c r="L204" i="6"/>
  <c r="L201" i="6"/>
  <c r="L198" i="6"/>
  <c r="L195" i="6"/>
  <c r="L192" i="6"/>
  <c r="L189" i="6"/>
  <c r="L184" i="6"/>
  <c r="L181" i="6"/>
  <c r="L178" i="6"/>
  <c r="L175" i="6"/>
  <c r="L172" i="6"/>
  <c r="L169" i="6"/>
  <c r="L166" i="6"/>
  <c r="L163" i="6"/>
  <c r="L160" i="6"/>
  <c r="L157" i="6"/>
  <c r="L154" i="6"/>
  <c r="L151" i="6"/>
  <c r="L148" i="6"/>
  <c r="L145" i="6"/>
  <c r="L142" i="6"/>
  <c r="L139" i="6"/>
  <c r="L136" i="6"/>
  <c r="L133" i="6"/>
  <c r="L130" i="6"/>
  <c r="L127" i="6"/>
  <c r="L124" i="6"/>
  <c r="L121" i="6"/>
  <c r="L118" i="6"/>
  <c r="L115" i="6"/>
  <c r="L112" i="6"/>
  <c r="L109" i="6"/>
  <c r="L106" i="6"/>
  <c r="L103" i="6"/>
  <c r="L100" i="6"/>
  <c r="L97" i="6"/>
  <c r="L94" i="6"/>
  <c r="L91" i="6"/>
  <c r="L88" i="6"/>
  <c r="L85" i="6"/>
  <c r="L466" i="5"/>
  <c r="L463" i="5"/>
  <c r="L460" i="5"/>
  <c r="L457" i="5"/>
  <c r="L454" i="5"/>
  <c r="L451" i="5"/>
  <c r="L448" i="5"/>
  <c r="L445" i="5"/>
  <c r="L442" i="5"/>
  <c r="L439" i="5"/>
  <c r="L436" i="5"/>
  <c r="L433" i="5"/>
  <c r="L430" i="5"/>
  <c r="L427" i="5"/>
  <c r="L424" i="5"/>
  <c r="L421" i="5"/>
  <c r="L418" i="5"/>
  <c r="L415" i="5"/>
  <c r="L412" i="5"/>
  <c r="L409" i="5"/>
  <c r="L406" i="5"/>
  <c r="L403" i="5"/>
  <c r="L400" i="5"/>
  <c r="L397" i="5"/>
  <c r="L394" i="5"/>
  <c r="L391" i="5"/>
  <c r="L388" i="5"/>
  <c r="L385" i="5"/>
  <c r="L382" i="5"/>
  <c r="L379" i="5"/>
  <c r="L376" i="5"/>
  <c r="L373" i="5"/>
  <c r="L370" i="5"/>
  <c r="L367" i="5"/>
  <c r="L364" i="5"/>
  <c r="L361" i="5"/>
  <c r="L358" i="5"/>
  <c r="L355" i="5"/>
  <c r="L352" i="5"/>
  <c r="L349" i="5"/>
  <c r="L346" i="5"/>
  <c r="L343" i="5"/>
  <c r="L340" i="5"/>
  <c r="L337" i="5"/>
  <c r="L334" i="5"/>
  <c r="L331" i="5"/>
  <c r="L328" i="5"/>
  <c r="L325" i="5"/>
  <c r="L322" i="5"/>
  <c r="L319" i="5"/>
  <c r="L316" i="5"/>
  <c r="L313" i="5"/>
  <c r="L310" i="5"/>
  <c r="L307" i="5"/>
  <c r="L304" i="5"/>
  <c r="L301" i="5"/>
  <c r="L298" i="5"/>
  <c r="L295" i="5"/>
  <c r="L292" i="5"/>
  <c r="L289" i="5"/>
  <c r="L286" i="5"/>
  <c r="L283" i="5"/>
  <c r="L280" i="5"/>
  <c r="L277" i="5"/>
  <c r="L274" i="5"/>
  <c r="L271" i="5"/>
  <c r="L268" i="5"/>
  <c r="L265" i="5"/>
  <c r="L262" i="5"/>
  <c r="L259" i="5"/>
  <c r="L256" i="5"/>
  <c r="L253" i="5"/>
  <c r="L250" i="5"/>
  <c r="L247" i="5"/>
  <c r="L244" i="5"/>
  <c r="L241" i="5"/>
  <c r="L238" i="5"/>
  <c r="L235" i="5"/>
  <c r="L232" i="5"/>
  <c r="L229" i="5"/>
  <c r="L226" i="5"/>
  <c r="L223" i="5"/>
  <c r="L220" i="5"/>
  <c r="L217" i="5"/>
  <c r="L214" i="5"/>
  <c r="L211" i="5"/>
  <c r="L208" i="5"/>
  <c r="L205" i="5"/>
  <c r="L202" i="5"/>
  <c r="L199" i="5"/>
  <c r="L196" i="5"/>
  <c r="L193" i="5"/>
  <c r="L190" i="5"/>
  <c r="L187" i="5"/>
  <c r="L184" i="5"/>
  <c r="L181" i="5"/>
  <c r="L178" i="5"/>
  <c r="L175" i="5"/>
  <c r="L172" i="5"/>
  <c r="L168" i="5"/>
  <c r="L165" i="5"/>
  <c r="L162" i="5"/>
  <c r="L159" i="5"/>
  <c r="L156" i="5"/>
  <c r="L151" i="5"/>
  <c r="L148" i="5"/>
  <c r="L145" i="5"/>
  <c r="L142" i="5"/>
  <c r="L139" i="5"/>
  <c r="L136" i="5"/>
  <c r="L133" i="5"/>
  <c r="L130" i="5"/>
  <c r="L127" i="5"/>
  <c r="L124" i="5"/>
  <c r="L121" i="5"/>
  <c r="L118" i="5"/>
  <c r="L115" i="5"/>
  <c r="L112" i="5"/>
  <c r="L109" i="5"/>
  <c r="L106" i="5"/>
  <c r="L103" i="5"/>
  <c r="L100" i="5"/>
  <c r="L97" i="5"/>
  <c r="L94" i="5"/>
  <c r="L91" i="5"/>
  <c r="L88" i="5"/>
  <c r="L85" i="5"/>
  <c r="L82" i="5"/>
  <c r="L79" i="5"/>
  <c r="L76" i="5"/>
  <c r="L73" i="5"/>
  <c r="L70" i="5"/>
  <c r="L67" i="5"/>
  <c r="L64" i="5"/>
  <c r="L61" i="5"/>
  <c r="L58" i="5"/>
  <c r="L55" i="5"/>
  <c r="L52" i="5"/>
  <c r="L49" i="5"/>
  <c r="L46" i="5"/>
  <c r="L43" i="5"/>
  <c r="L40" i="5"/>
  <c r="L36" i="5"/>
  <c r="L33" i="5"/>
  <c r="L30" i="5"/>
  <c r="L27" i="5"/>
  <c r="L24" i="5"/>
  <c r="L21" i="5"/>
  <c r="L18" i="5"/>
  <c r="L15" i="5"/>
  <c r="L12" i="5"/>
  <c r="L9" i="5"/>
  <c r="L6" i="5"/>
  <c r="M456" i="4"/>
  <c r="M453" i="4"/>
  <c r="M450" i="4"/>
  <c r="M447" i="4"/>
  <c r="M444" i="4"/>
  <c r="M441" i="4"/>
  <c r="M438" i="4"/>
  <c r="M435" i="4"/>
  <c r="M432" i="4"/>
  <c r="M429" i="4"/>
  <c r="M426" i="4"/>
  <c r="M423" i="4"/>
  <c r="M420" i="4"/>
  <c r="M417" i="4"/>
  <c r="M414" i="4"/>
  <c r="M411" i="4"/>
  <c r="M408" i="4"/>
  <c r="M405" i="4"/>
  <c r="M402" i="4"/>
  <c r="M399" i="4"/>
  <c r="M396" i="4"/>
  <c r="M393" i="4"/>
  <c r="M390" i="4"/>
  <c r="M387" i="4"/>
  <c r="M384" i="4"/>
  <c r="M381" i="4"/>
  <c r="M378" i="4"/>
  <c r="M375" i="4"/>
  <c r="M372" i="4"/>
  <c r="M369" i="4"/>
  <c r="M366" i="4"/>
  <c r="M363" i="4"/>
  <c r="M360" i="4"/>
  <c r="M357" i="4"/>
  <c r="M354" i="4"/>
  <c r="M351" i="4"/>
  <c r="M348" i="4"/>
  <c r="M345" i="4"/>
  <c r="M342" i="4"/>
  <c r="M339" i="4"/>
  <c r="M336" i="4"/>
  <c r="M333" i="4"/>
  <c r="M330" i="4"/>
  <c r="M327" i="4"/>
  <c r="M324" i="4"/>
  <c r="M321" i="4"/>
  <c r="M318" i="4"/>
  <c r="M315" i="4"/>
  <c r="M312" i="4"/>
  <c r="M309" i="4"/>
  <c r="M306" i="4"/>
  <c r="M303" i="4"/>
  <c r="M300" i="4"/>
  <c r="M297" i="4"/>
  <c r="M294" i="4"/>
  <c r="M291" i="4"/>
  <c r="M288" i="4"/>
  <c r="M285" i="4"/>
  <c r="M282" i="4"/>
  <c r="M279" i="4"/>
  <c r="M276" i="4"/>
  <c r="M273" i="4"/>
  <c r="M270" i="4"/>
  <c r="M267" i="4"/>
  <c r="M264" i="4"/>
  <c r="M261" i="4"/>
  <c r="M258" i="4"/>
  <c r="M255" i="4"/>
  <c r="M252" i="4"/>
  <c r="M249" i="4"/>
  <c r="M246" i="4"/>
  <c r="M243" i="4"/>
  <c r="M240" i="4"/>
  <c r="M237" i="4"/>
  <c r="M234" i="4"/>
  <c r="M231" i="4"/>
  <c r="M228" i="4"/>
  <c r="M225" i="4"/>
  <c r="M222" i="4"/>
  <c r="M219" i="4"/>
  <c r="M216" i="4"/>
  <c r="M213" i="4"/>
  <c r="M210" i="4"/>
  <c r="M207" i="4"/>
  <c r="M204" i="4"/>
  <c r="M201" i="4"/>
  <c r="M198" i="4"/>
  <c r="M195" i="4"/>
  <c r="M192" i="4"/>
  <c r="M189" i="4"/>
  <c r="M186" i="4"/>
  <c r="M183" i="4"/>
  <c r="M180" i="4"/>
  <c r="M177" i="4"/>
  <c r="M174" i="4"/>
  <c r="M171" i="4"/>
  <c r="M168" i="4"/>
  <c r="M165" i="4"/>
  <c r="M162" i="4"/>
  <c r="M159" i="4"/>
  <c r="M156" i="4"/>
  <c r="M153" i="4"/>
  <c r="M150" i="4"/>
  <c r="M147" i="4"/>
  <c r="M144" i="4"/>
  <c r="M141" i="4"/>
  <c r="M138" i="4"/>
  <c r="K135" i="4"/>
  <c r="M135" i="4" s="1"/>
  <c r="M132" i="4"/>
  <c r="M129" i="4"/>
  <c r="M126" i="4"/>
  <c r="M123" i="4"/>
  <c r="M120" i="4"/>
  <c r="M117" i="4"/>
  <c r="M114" i="4"/>
  <c r="M111" i="4"/>
  <c r="M108" i="4"/>
  <c r="M105" i="4"/>
  <c r="M102" i="4"/>
  <c r="M99" i="4"/>
  <c r="M96" i="4"/>
  <c r="M93" i="4"/>
  <c r="M90" i="4"/>
  <c r="M87" i="4"/>
  <c r="M84" i="4"/>
  <c r="M81" i="4"/>
  <c r="M78" i="4"/>
  <c r="M75" i="4"/>
  <c r="M72" i="4"/>
  <c r="M69" i="4"/>
  <c r="M66" i="4"/>
  <c r="M63" i="4"/>
  <c r="M60" i="4"/>
  <c r="M57" i="4"/>
  <c r="M54" i="4"/>
  <c r="M51" i="4"/>
  <c r="M48" i="4"/>
  <c r="M45" i="4"/>
  <c r="M42" i="4"/>
  <c r="M39" i="4"/>
  <c r="M36" i="4"/>
  <c r="M33" i="4"/>
  <c r="M30" i="4"/>
  <c r="M27" i="4"/>
  <c r="M24" i="4"/>
  <c r="M21" i="4"/>
  <c r="M18" i="4"/>
  <c r="M15" i="4"/>
  <c r="M12" i="4"/>
  <c r="M9" i="4"/>
  <c r="M6" i="4"/>
  <c r="N453" i="3"/>
  <c r="L453" i="3"/>
  <c r="N450" i="3"/>
  <c r="N447" i="3"/>
  <c r="L447" i="3"/>
  <c r="N444" i="3"/>
  <c r="L444" i="3"/>
  <c r="L441" i="3"/>
  <c r="N441" i="3" s="1"/>
  <c r="L438" i="3"/>
  <c r="N438" i="3" s="1"/>
  <c r="N435" i="3"/>
  <c r="L435" i="3"/>
  <c r="N432" i="3"/>
  <c r="N429" i="3"/>
  <c r="N426" i="3"/>
  <c r="N423" i="3"/>
  <c r="L423" i="3"/>
  <c r="L420" i="3"/>
  <c r="N420" i="3" s="1"/>
  <c r="N417" i="3"/>
  <c r="L417" i="3"/>
  <c r="N414" i="3"/>
  <c r="L414" i="3"/>
  <c r="N411" i="3"/>
  <c r="L411" i="3"/>
  <c r="L408" i="3"/>
  <c r="N408" i="3" s="1"/>
  <c r="N405" i="3"/>
  <c r="L405" i="3"/>
  <c r="N402" i="3"/>
  <c r="L402" i="3"/>
  <c r="N399" i="3"/>
  <c r="L399" i="3"/>
  <c r="L396" i="3"/>
  <c r="N396" i="3" s="1"/>
  <c r="N393" i="3"/>
  <c r="L393" i="3"/>
  <c r="N390" i="3"/>
  <c r="L390" i="3"/>
  <c r="N387" i="3"/>
  <c r="L387" i="3"/>
  <c r="L384" i="3"/>
  <c r="N384" i="3" s="1"/>
  <c r="N381" i="3"/>
  <c r="L381" i="3"/>
  <c r="N378" i="3"/>
  <c r="L378" i="3"/>
  <c r="N375" i="3"/>
  <c r="L375" i="3"/>
  <c r="L372" i="3"/>
  <c r="N372" i="3" s="1"/>
  <c r="N369" i="3"/>
  <c r="L369" i="3"/>
  <c r="N366" i="3"/>
  <c r="L366" i="3"/>
  <c r="N363" i="3"/>
  <c r="L363" i="3"/>
  <c r="L360" i="3"/>
  <c r="N360" i="3" s="1"/>
  <c r="N357" i="3"/>
  <c r="L357" i="3"/>
  <c r="N354" i="3"/>
  <c r="L354" i="3"/>
  <c r="N351" i="3"/>
  <c r="L351" i="3"/>
  <c r="L348" i="3"/>
  <c r="N348" i="3" s="1"/>
  <c r="N345" i="3"/>
  <c r="L345" i="3"/>
  <c r="N342" i="3"/>
  <c r="L342" i="3"/>
  <c r="N339" i="3"/>
  <c r="L339" i="3"/>
  <c r="L336" i="3"/>
  <c r="N336" i="3" s="1"/>
  <c r="N333" i="3"/>
  <c r="L333" i="3"/>
  <c r="N330" i="3"/>
  <c r="L330" i="3"/>
  <c r="N327" i="3"/>
  <c r="L327" i="3"/>
  <c r="L324" i="3"/>
  <c r="N324" i="3" s="1"/>
  <c r="N321" i="3"/>
  <c r="L321" i="3"/>
  <c r="N318" i="3"/>
  <c r="L318" i="3"/>
  <c r="N315" i="3"/>
  <c r="L315" i="3"/>
  <c r="L312" i="3"/>
  <c r="N312" i="3" s="1"/>
  <c r="N309" i="3"/>
  <c r="L309" i="3"/>
  <c r="N306" i="3"/>
  <c r="L306" i="3"/>
  <c r="N303" i="3"/>
  <c r="L303" i="3"/>
  <c r="L300" i="3"/>
  <c r="N300" i="3" s="1"/>
  <c r="N297" i="3"/>
  <c r="L297" i="3"/>
  <c r="N294" i="3"/>
  <c r="L294" i="3"/>
  <c r="N291" i="3"/>
  <c r="L291" i="3"/>
  <c r="L288" i="3"/>
  <c r="N288" i="3" s="1"/>
  <c r="N285" i="3"/>
  <c r="L285" i="3"/>
  <c r="N282" i="3"/>
  <c r="L282" i="3"/>
  <c r="N279" i="3"/>
  <c r="L279" i="3"/>
  <c r="L276" i="3"/>
  <c r="N276" i="3" s="1"/>
  <c r="N273" i="3"/>
  <c r="L273" i="3"/>
  <c r="N270" i="3"/>
  <c r="L270" i="3"/>
  <c r="N267" i="3"/>
  <c r="L267" i="3"/>
  <c r="L264" i="3"/>
  <c r="N264" i="3" s="1"/>
  <c r="N261" i="3"/>
  <c r="N258" i="3"/>
  <c r="L258" i="3"/>
  <c r="L255" i="3"/>
  <c r="N255" i="3" s="1"/>
  <c r="N252" i="3"/>
  <c r="L249" i="3"/>
  <c r="N249" i="3" s="1"/>
  <c r="N246" i="3"/>
  <c r="L246" i="3"/>
  <c r="N243" i="3"/>
  <c r="L243" i="3"/>
  <c r="N240" i="3"/>
  <c r="L240" i="3"/>
  <c r="L237" i="3"/>
  <c r="N237" i="3" s="1"/>
  <c r="N234" i="3"/>
  <c r="L234" i="3"/>
  <c r="N231" i="3"/>
  <c r="L231" i="3"/>
  <c r="N228" i="3"/>
  <c r="L228" i="3"/>
  <c r="L225" i="3"/>
  <c r="N225" i="3" s="1"/>
  <c r="N222" i="3"/>
  <c r="L222" i="3"/>
  <c r="N219" i="3"/>
  <c r="L219" i="3"/>
  <c r="N216" i="3"/>
  <c r="L216" i="3"/>
  <c r="L213" i="3"/>
  <c r="N213" i="3" s="1"/>
  <c r="N210" i="3"/>
  <c r="L210" i="3"/>
  <c r="N207" i="3"/>
  <c r="L207" i="3"/>
  <c r="N204" i="3"/>
  <c r="L204" i="3"/>
  <c r="L201" i="3"/>
  <c r="N201" i="3" s="1"/>
  <c r="N198" i="3"/>
  <c r="L198" i="3"/>
  <c r="N195" i="3"/>
  <c r="L195" i="3"/>
  <c r="N192" i="3"/>
  <c r="L192" i="3"/>
  <c r="L189" i="3"/>
  <c r="N189" i="3" s="1"/>
  <c r="N186" i="3"/>
  <c r="L186" i="3"/>
  <c r="N183" i="3"/>
  <c r="L183" i="3"/>
  <c r="N180" i="3"/>
  <c r="L180" i="3"/>
  <c r="L177" i="3"/>
  <c r="N177" i="3" s="1"/>
  <c r="N174" i="3"/>
  <c r="L174" i="3"/>
  <c r="N171" i="3"/>
  <c r="L171" i="3"/>
  <c r="N168" i="3"/>
  <c r="L168" i="3"/>
  <c r="L165" i="3"/>
  <c r="N165" i="3" s="1"/>
  <c r="N162" i="3"/>
  <c r="L162" i="3"/>
  <c r="N159" i="3"/>
  <c r="L159" i="3"/>
  <c r="N156" i="3"/>
  <c r="L156" i="3"/>
  <c r="L153" i="3"/>
  <c r="N153" i="3" s="1"/>
  <c r="N150" i="3"/>
  <c r="L150" i="3"/>
  <c r="N147" i="3"/>
  <c r="L147" i="3"/>
  <c r="N144" i="3"/>
  <c r="L144" i="3"/>
  <c r="L141" i="3"/>
  <c r="N141" i="3" s="1"/>
  <c r="N138" i="3"/>
  <c r="L138" i="3"/>
  <c r="N135" i="3"/>
  <c r="L135" i="3"/>
  <c r="N132" i="3"/>
  <c r="L132" i="3"/>
  <c r="L129" i="3"/>
  <c r="N129" i="3" s="1"/>
  <c r="N126" i="3"/>
  <c r="L126" i="3"/>
  <c r="N123" i="3"/>
  <c r="L123" i="3"/>
  <c r="N120" i="3"/>
  <c r="L120" i="3"/>
  <c r="L117" i="3"/>
  <c r="N117" i="3" s="1"/>
  <c r="N114" i="3"/>
  <c r="L114" i="3"/>
  <c r="N111" i="3"/>
  <c r="L111" i="3"/>
  <c r="N108" i="3"/>
  <c r="L108" i="3"/>
  <c r="L105" i="3"/>
  <c r="N105" i="3" s="1"/>
  <c r="N102" i="3"/>
  <c r="L102" i="3"/>
  <c r="N99" i="3"/>
  <c r="L99" i="3"/>
  <c r="N96" i="3"/>
  <c r="L96" i="3"/>
  <c r="L93" i="3"/>
  <c r="N93" i="3" s="1"/>
  <c r="N90" i="3"/>
  <c r="L90" i="3"/>
  <c r="N87" i="3"/>
  <c r="L87" i="3"/>
  <c r="N84" i="3"/>
  <c r="L84" i="3"/>
  <c r="L81" i="3"/>
  <c r="N81" i="3" s="1"/>
  <c r="N78" i="3"/>
  <c r="L78" i="3"/>
  <c r="N75" i="3"/>
  <c r="L75" i="3"/>
  <c r="N72" i="3"/>
  <c r="L72" i="3"/>
  <c r="L69" i="3"/>
  <c r="N69" i="3" s="1"/>
  <c r="N66" i="3"/>
  <c r="L66" i="3"/>
  <c r="N63" i="3"/>
  <c r="L63" i="3"/>
  <c r="N60" i="3"/>
  <c r="L60" i="3"/>
  <c r="L57" i="3"/>
  <c r="N57" i="3" s="1"/>
  <c r="N54" i="3"/>
  <c r="L54" i="3"/>
  <c r="N51" i="3"/>
  <c r="L51" i="3"/>
  <c r="N48" i="3"/>
  <c r="L48" i="3"/>
  <c r="L45" i="3"/>
  <c r="N45" i="3" s="1"/>
  <c r="N42" i="3"/>
  <c r="L42" i="3"/>
  <c r="N39" i="3"/>
  <c r="L39" i="3"/>
  <c r="N36" i="3"/>
  <c r="L36" i="3"/>
  <c r="L33" i="3"/>
  <c r="N33" i="3" s="1"/>
  <c r="N30" i="3"/>
  <c r="L30" i="3"/>
  <c r="N27" i="3"/>
  <c r="L27" i="3"/>
  <c r="N24" i="3"/>
  <c r="L24" i="3"/>
  <c r="L21" i="3"/>
  <c r="N21" i="3" s="1"/>
  <c r="N18" i="3"/>
  <c r="L18" i="3"/>
  <c r="N15" i="3"/>
  <c r="L15" i="3"/>
  <c r="N12" i="3"/>
  <c r="L12" i="3"/>
  <c r="L9" i="3"/>
  <c r="N9" i="3" s="1"/>
  <c r="N6" i="3"/>
  <c r="L6" i="3"/>
  <c r="L428" i="2" l="1"/>
  <c r="N428" i="2" s="1"/>
  <c r="L431" i="2"/>
  <c r="N431" i="2" s="1"/>
  <c r="L434" i="2"/>
  <c r="N434" i="2" s="1"/>
  <c r="L437" i="2"/>
  <c r="N437" i="2" s="1"/>
  <c r="L440" i="2"/>
  <c r="N440" i="2" s="1"/>
  <c r="L443" i="2"/>
  <c r="N443" i="2" s="1"/>
  <c r="L446" i="2"/>
  <c r="N446" i="2" s="1"/>
  <c r="L449" i="2"/>
  <c r="N449" i="2" s="1"/>
  <c r="L452" i="2"/>
  <c r="N452" i="2" s="1"/>
  <c r="N455" i="2"/>
  <c r="N458" i="2"/>
  <c r="N464" i="2"/>
  <c r="L467" i="2"/>
  <c r="N467" i="2" s="1"/>
  <c r="L470" i="2"/>
  <c r="N470" i="2" s="1"/>
  <c r="N473" i="2"/>
  <c r="L476" i="2"/>
  <c r="N476" i="2" s="1"/>
  <c r="L479" i="2"/>
  <c r="N479" i="2" s="1"/>
  <c r="N482" i="2"/>
  <c r="L485" i="2"/>
  <c r="N485" i="2" s="1"/>
  <c r="L347" i="2"/>
  <c r="N347" i="2" s="1"/>
  <c r="L350" i="2"/>
  <c r="N350" i="2" s="1"/>
  <c r="L356" i="2"/>
  <c r="N356" i="2" s="1"/>
  <c r="L359" i="2"/>
  <c r="N359" i="2" s="1"/>
  <c r="L362" i="2"/>
  <c r="N362" i="2" s="1"/>
  <c r="L365" i="2"/>
  <c r="N365" i="2" s="1"/>
  <c r="L368" i="2"/>
  <c r="N368" i="2" s="1"/>
  <c r="L371" i="2"/>
  <c r="N371" i="2" s="1"/>
  <c r="L374" i="2"/>
  <c r="N374" i="2" s="1"/>
  <c r="L377" i="2"/>
  <c r="N377" i="2" s="1"/>
  <c r="L380" i="2"/>
  <c r="N380" i="2" s="1"/>
  <c r="L383" i="2"/>
  <c r="N383" i="2" s="1"/>
  <c r="L386" i="2"/>
  <c r="N386" i="2" s="1"/>
  <c r="L389" i="2"/>
  <c r="N389" i="2" s="1"/>
  <c r="L392" i="2"/>
  <c r="N392" i="2" s="1"/>
  <c r="L395" i="2"/>
  <c r="N395" i="2" s="1"/>
  <c r="L398" i="2"/>
  <c r="N398" i="2" s="1"/>
  <c r="L401" i="2"/>
  <c r="N401" i="2" s="1"/>
  <c r="L404" i="2"/>
  <c r="N404" i="2" s="1"/>
  <c r="L407" i="2"/>
  <c r="N407" i="2" s="1"/>
  <c r="L410" i="2"/>
  <c r="N410" i="2" s="1"/>
  <c r="L413" i="2"/>
  <c r="N413" i="2" s="1"/>
  <c r="L416" i="2"/>
  <c r="N416" i="2" s="1"/>
  <c r="L419" i="2"/>
  <c r="N419" i="2" s="1"/>
  <c r="L422" i="2"/>
  <c r="N422" i="2" s="1"/>
  <c r="L425" i="2"/>
  <c r="N425" i="2" s="1"/>
  <c r="L260" i="2"/>
  <c r="N260" i="2" s="1"/>
  <c r="L263" i="2"/>
  <c r="N263" i="2" s="1"/>
  <c r="L269" i="2"/>
  <c r="N269" i="2" s="1"/>
  <c r="L272" i="2"/>
  <c r="N272" i="2" s="1"/>
  <c r="L275" i="2"/>
  <c r="N275" i="2" s="1"/>
  <c r="L278" i="2"/>
  <c r="N278" i="2" s="1"/>
  <c r="L281" i="2"/>
  <c r="N281" i="2" s="1"/>
  <c r="L284" i="2"/>
  <c r="N284" i="2" s="1"/>
  <c r="L287" i="2"/>
  <c r="N287" i="2" s="1"/>
  <c r="L290" i="2"/>
  <c r="N290" i="2" s="1"/>
  <c r="L293" i="2"/>
  <c r="N293" i="2" s="1"/>
  <c r="L296" i="2"/>
  <c r="N296" i="2" s="1"/>
  <c r="L299" i="2"/>
  <c r="N299" i="2" s="1"/>
  <c r="L302" i="2"/>
  <c r="N302" i="2" s="1"/>
  <c r="L305" i="2"/>
  <c r="N305" i="2" s="1"/>
  <c r="L308" i="2"/>
  <c r="N308" i="2" s="1"/>
  <c r="L311" i="2"/>
  <c r="N311" i="2" s="1"/>
  <c r="L314" i="2"/>
  <c r="N314" i="2" s="1"/>
  <c r="L317" i="2"/>
  <c r="N317" i="2" s="1"/>
  <c r="L320" i="2"/>
  <c r="N320" i="2" s="1"/>
  <c r="L323" i="2"/>
  <c r="N323" i="2" s="1"/>
  <c r="L326" i="2"/>
  <c r="N326" i="2" s="1"/>
  <c r="L329" i="2"/>
  <c r="N329" i="2" s="1"/>
  <c r="L332" i="2"/>
  <c r="N332" i="2" s="1"/>
  <c r="L338" i="2"/>
  <c r="N338" i="2" s="1"/>
  <c r="L341" i="2"/>
  <c r="N341" i="2" s="1"/>
  <c r="L344" i="2"/>
  <c r="N344" i="2" s="1"/>
  <c r="L179" i="2"/>
  <c r="N179" i="2" s="1"/>
  <c r="L182" i="2"/>
  <c r="N182" i="2" s="1"/>
  <c r="L185" i="2"/>
  <c r="N185" i="2" s="1"/>
  <c r="L188" i="2"/>
  <c r="N188" i="2" s="1"/>
  <c r="L191" i="2"/>
  <c r="N191" i="2" s="1"/>
  <c r="L194" i="2"/>
  <c r="N194" i="2" s="1"/>
  <c r="L197" i="2"/>
  <c r="N197" i="2" s="1"/>
  <c r="L200" i="2"/>
  <c r="N200" i="2" s="1"/>
  <c r="L203" i="2"/>
  <c r="N203" i="2" s="1"/>
  <c r="L206" i="2"/>
  <c r="N206" i="2" s="1"/>
  <c r="L209" i="2"/>
  <c r="N209" i="2" s="1"/>
  <c r="L212" i="2"/>
  <c r="N212" i="2" s="1"/>
  <c r="L215" i="2"/>
  <c r="N215" i="2" s="1"/>
  <c r="L218" i="2"/>
  <c r="N218" i="2" s="1"/>
  <c r="L221" i="2"/>
  <c r="N221" i="2" s="1"/>
  <c r="L224" i="2"/>
  <c r="N224" i="2" s="1"/>
  <c r="L227" i="2"/>
  <c r="N227" i="2" s="1"/>
  <c r="L230" i="2"/>
  <c r="N230" i="2" s="1"/>
  <c r="L233" i="2"/>
  <c r="N233" i="2" s="1"/>
  <c r="L236" i="2"/>
  <c r="N236" i="2" s="1"/>
  <c r="L239" i="2"/>
  <c r="N239" i="2" s="1"/>
  <c r="L242" i="2"/>
  <c r="N242" i="2" s="1"/>
  <c r="L248" i="2"/>
  <c r="N248" i="2" s="1"/>
  <c r="L251" i="2"/>
  <c r="N251" i="2" s="1"/>
  <c r="L254" i="2"/>
  <c r="N254" i="2" s="1"/>
  <c r="L257" i="2"/>
  <c r="N257" i="2" s="1"/>
  <c r="L98" i="2"/>
  <c r="N98" i="2" s="1"/>
  <c r="L101" i="2"/>
  <c r="N101" i="2" s="1"/>
  <c r="L104" i="2"/>
  <c r="N104" i="2" s="1"/>
  <c r="L107" i="2"/>
  <c r="N107" i="2" s="1"/>
  <c r="L110" i="2"/>
  <c r="N110" i="2" s="1"/>
  <c r="L113" i="2"/>
  <c r="N113" i="2" s="1"/>
  <c r="L116" i="2"/>
  <c r="N116" i="2" s="1"/>
  <c r="L119" i="2"/>
  <c r="N119" i="2" s="1"/>
  <c r="L122" i="2"/>
  <c r="N122" i="2" s="1"/>
  <c r="L125" i="2"/>
  <c r="N125" i="2" s="1"/>
  <c r="L128" i="2"/>
  <c r="N128" i="2" s="1"/>
  <c r="L131" i="2"/>
  <c r="N131" i="2" s="1"/>
  <c r="L134" i="2"/>
  <c r="N134" i="2" s="1"/>
  <c r="L140" i="2"/>
  <c r="N140" i="2" s="1"/>
  <c r="L143" i="2"/>
  <c r="N143" i="2" s="1"/>
  <c r="L146" i="2"/>
  <c r="N146" i="2" s="1"/>
  <c r="L149" i="2"/>
  <c r="N149" i="2" s="1"/>
  <c r="L152" i="2"/>
  <c r="N152" i="2" s="1"/>
  <c r="L155" i="2"/>
  <c r="N155" i="2" s="1"/>
  <c r="L158" i="2"/>
  <c r="N158" i="2" s="1"/>
  <c r="L161" i="2"/>
  <c r="N161" i="2" s="1"/>
  <c r="L164" i="2"/>
  <c r="N164" i="2" s="1"/>
  <c r="L167" i="2"/>
  <c r="N167" i="2" s="1"/>
  <c r="L170" i="2"/>
  <c r="N170" i="2" s="1"/>
  <c r="L173" i="2"/>
  <c r="N173" i="2" s="1"/>
  <c r="L176" i="2"/>
  <c r="N176" i="2" s="1"/>
  <c r="L95" i="2"/>
  <c r="N95" i="2" s="1"/>
  <c r="L92" i="2"/>
  <c r="N92" i="2" s="1"/>
  <c r="L89" i="2"/>
  <c r="N89" i="2" s="1"/>
  <c r="L86" i="2"/>
  <c r="N86" i="2" s="1"/>
  <c r="L83" i="2"/>
  <c r="N83" i="2" s="1"/>
  <c r="L80" i="2"/>
  <c r="N80" i="2" s="1"/>
  <c r="L77" i="2"/>
  <c r="N77" i="2" s="1"/>
  <c r="L72" i="2"/>
  <c r="N72" i="2" s="1"/>
  <c r="L69" i="2"/>
  <c r="N69" i="2" s="1"/>
  <c r="L63" i="2"/>
  <c r="N63" i="2" s="1"/>
  <c r="L60" i="2"/>
  <c r="N60" i="2" s="1"/>
  <c r="L57" i="2"/>
  <c r="N57" i="2" s="1"/>
  <c r="L54" i="2"/>
  <c r="N54" i="2" s="1"/>
  <c r="L51" i="2"/>
  <c r="N51" i="2" s="1"/>
  <c r="L48" i="2"/>
  <c r="N48" i="2" s="1"/>
  <c r="L45" i="2"/>
  <c r="N45" i="2" s="1"/>
  <c r="L39" i="2"/>
  <c r="N39" i="2" s="1"/>
  <c r="L33" i="2"/>
  <c r="N33" i="2" s="1"/>
  <c r="L30" i="2"/>
  <c r="N30" i="2" s="1"/>
  <c r="L27" i="2"/>
  <c r="N27" i="2" s="1"/>
  <c r="L24" i="2"/>
  <c r="N24" i="2" s="1"/>
  <c r="L18" i="2"/>
  <c r="N18" i="2" s="1"/>
  <c r="L15" i="2"/>
  <c r="N15" i="2" s="1"/>
  <c r="L12" i="2"/>
  <c r="N12" i="2" s="1"/>
  <c r="L9" i="2"/>
  <c r="N9" i="2" s="1"/>
  <c r="L6" i="2"/>
  <c r="N6" i="2" s="1"/>
</calcChain>
</file>

<file path=xl/sharedStrings.xml><?xml version="1.0" encoding="utf-8"?>
<sst xmlns="http://schemas.openxmlformats.org/spreadsheetml/2006/main" count="11547" uniqueCount="2887">
  <si>
    <t>Vote Cast for All Candidates for the Office of Member of Assembly</t>
  </si>
  <si>
    <t>Assembly District</t>
  </si>
  <si>
    <t>Winner</t>
  </si>
  <si>
    <t>First</t>
  </si>
  <si>
    <t>Thirtieth</t>
  </si>
  <si>
    <t>Sixty-First</t>
  </si>
  <si>
    <t>Ninety-Second</t>
  </si>
  <si>
    <t>One Hundred Twenty-Fifth</t>
  </si>
  <si>
    <t>Sixty-Second</t>
  </si>
  <si>
    <t>One Hundred Twenty-Sixth</t>
  </si>
  <si>
    <t xml:space="preserve">Second </t>
  </si>
  <si>
    <t>Fred W. Thiele, Jr.</t>
  </si>
  <si>
    <t>Thirty-First</t>
  </si>
  <si>
    <t>Ninety-Third</t>
  </si>
  <si>
    <t>Sixty-Third</t>
  </si>
  <si>
    <t>One Hundred Twenty-Seventh</t>
  </si>
  <si>
    <t>Third</t>
  </si>
  <si>
    <t>One Hundred Twenty-Eighth</t>
  </si>
  <si>
    <t>Robert C. Oaks</t>
  </si>
  <si>
    <t>Thirty-Second</t>
  </si>
  <si>
    <t xml:space="preserve">                               Cook</t>
  </si>
  <si>
    <t>Vivian E. Cook</t>
  </si>
  <si>
    <t>Ninety-Fourth</t>
  </si>
  <si>
    <t>Sixty-Fourth</t>
  </si>
  <si>
    <t>Richard N. Gottfried</t>
  </si>
  <si>
    <t>One Hundred Twenty-Ninth</t>
  </si>
  <si>
    <t>Fourth</t>
  </si>
  <si>
    <t>Steven Englebright</t>
  </si>
  <si>
    <t>Ninety-Fifth</t>
  </si>
  <si>
    <t>Sixty-Fifth</t>
  </si>
  <si>
    <t>Thirty-Third</t>
  </si>
  <si>
    <t>One Hundred Thirtieth</t>
  </si>
  <si>
    <t>Ninety-Sixth</t>
  </si>
  <si>
    <t xml:space="preserve">   </t>
  </si>
  <si>
    <t>Thirty-Fourth</t>
  </si>
  <si>
    <t>One Hundred Thirty-First</t>
  </si>
  <si>
    <t>Sixty-Sixth</t>
  </si>
  <si>
    <t xml:space="preserve">                               Glick</t>
  </si>
  <si>
    <t>Deborah J. Glick</t>
  </si>
  <si>
    <t>Ninety-Seventh</t>
  </si>
  <si>
    <t>Fifth</t>
  </si>
  <si>
    <t>Thirty-Fifth</t>
  </si>
  <si>
    <t xml:space="preserve">                              Aubry</t>
  </si>
  <si>
    <t>Jeffrion L. Aubry</t>
  </si>
  <si>
    <t>One Hundred Thirty-Second</t>
  </si>
  <si>
    <t>Joseph D. Morelle</t>
  </si>
  <si>
    <t>Sixty-Seventh</t>
  </si>
  <si>
    <t>Thirty-Sixth</t>
  </si>
  <si>
    <t>Ninety-Eighth</t>
  </si>
  <si>
    <t>One Hundred Thirty-Third</t>
  </si>
  <si>
    <t>David F. Gantt</t>
  </si>
  <si>
    <t xml:space="preserve">Sixty-Eighth </t>
  </si>
  <si>
    <t>Sixth</t>
  </si>
  <si>
    <t>Thirty-Seventh</t>
  </si>
  <si>
    <t xml:space="preserve">                               Nolan</t>
  </si>
  <si>
    <t>Catherine T. Nolan</t>
  </si>
  <si>
    <t>Ninety-Ninth</t>
  </si>
  <si>
    <t>One Hundred Thirty-Fourth</t>
  </si>
  <si>
    <t>Sixty-Ninth</t>
  </si>
  <si>
    <t>Seventh</t>
  </si>
  <si>
    <t>One Hundred Thirty-Fifth</t>
  </si>
  <si>
    <t>Thirty-Eighth</t>
  </si>
  <si>
    <t>Seventieth</t>
  </si>
  <si>
    <t>One Hundred First</t>
  </si>
  <si>
    <t>Eighth</t>
  </si>
  <si>
    <t>Thirty-Ninth</t>
  </si>
  <si>
    <t>One Hundred Thirty-Sixth</t>
  </si>
  <si>
    <t>Seventy-First</t>
  </si>
  <si>
    <t xml:space="preserve">                       Farrell, Jr.</t>
  </si>
  <si>
    <t>Herman D. Farrell, Jr.</t>
  </si>
  <si>
    <t>One Hundred Second</t>
  </si>
  <si>
    <t>Fortieth</t>
  </si>
  <si>
    <t>Seventy-Second</t>
  </si>
  <si>
    <t>Ninth</t>
  </si>
  <si>
    <t>One Hundred Thirty-Seventh</t>
  </si>
  <si>
    <t>Forty-First</t>
  </si>
  <si>
    <t xml:space="preserve">                       Weinstein</t>
  </si>
  <si>
    <t>Helene E. Weinstein</t>
  </si>
  <si>
    <t>One Hundred Third</t>
  </si>
  <si>
    <t>Seventy-Third</t>
  </si>
  <si>
    <t>Tenth</t>
  </si>
  <si>
    <t>One Hundred Thirty-Eighth</t>
  </si>
  <si>
    <t>Forty-Second</t>
  </si>
  <si>
    <t>Eleventh</t>
  </si>
  <si>
    <t>One Hundred Fourth</t>
  </si>
  <si>
    <t>Forty-Third</t>
  </si>
  <si>
    <t>One Hundred Thirty-Ninth</t>
  </si>
  <si>
    <t>Seventy-Fourth</t>
  </si>
  <si>
    <t>Carmen E. Arroyo</t>
  </si>
  <si>
    <t>One Hundred Fifth</t>
  </si>
  <si>
    <t>Forty-Fourth</t>
  </si>
  <si>
    <t>Twelfth</t>
  </si>
  <si>
    <t>Seventy-Fifth</t>
  </si>
  <si>
    <t>Forty-Fifth</t>
  </si>
  <si>
    <t>Thirteenth</t>
  </si>
  <si>
    <t>Seventy-Sixth</t>
  </si>
  <si>
    <t>One Hundred Sixth</t>
  </si>
  <si>
    <t>Forty-Sixth</t>
  </si>
  <si>
    <t>Seventy-Seventh</t>
  </si>
  <si>
    <t>One Hundred Seventh</t>
  </si>
  <si>
    <t>One Hundred Forty-First</t>
  </si>
  <si>
    <t>Forty-Seventh</t>
  </si>
  <si>
    <t>William Colton</t>
  </si>
  <si>
    <t>Seventy-Eighth</t>
  </si>
  <si>
    <t>Fourteenth</t>
  </si>
  <si>
    <t>One Hundred Forty-Second</t>
  </si>
  <si>
    <t>Forty-Eighth</t>
  </si>
  <si>
    <t xml:space="preserve">                             Hikind</t>
  </si>
  <si>
    <t>Dov Hikind</t>
  </si>
  <si>
    <t>Seventy-Ninth</t>
  </si>
  <si>
    <t>Fifteenth</t>
  </si>
  <si>
    <t>One Hundred Eighth</t>
  </si>
  <si>
    <t>Forty-Ninth</t>
  </si>
  <si>
    <t>Eightieth</t>
  </si>
  <si>
    <t>Sixteenth</t>
  </si>
  <si>
    <t>One Hundred Forty-Third</t>
  </si>
  <si>
    <t>Fiftieth</t>
  </si>
  <si>
    <t xml:space="preserve">                              Lentol</t>
  </si>
  <si>
    <t>Joseph R. Lentol</t>
  </si>
  <si>
    <t>One Hundred Ninth</t>
  </si>
  <si>
    <t>Fifty-First</t>
  </si>
  <si>
    <t xml:space="preserve">                                Ortiz</t>
  </si>
  <si>
    <t>Felix W. Ortiz</t>
  </si>
  <si>
    <t>One Hundred Forty-Fourth</t>
  </si>
  <si>
    <t>Eighty-First</t>
  </si>
  <si>
    <t xml:space="preserve">                          Dinowitz</t>
  </si>
  <si>
    <t>Jeffrey Dinowitz</t>
  </si>
  <si>
    <t>One Hundred Tenth</t>
  </si>
  <si>
    <t>Seventeenth</t>
  </si>
  <si>
    <t>One Hundred Forty-Fifth</t>
  </si>
  <si>
    <t>Eighty-Second</t>
  </si>
  <si>
    <t>One Hundred Eleventh</t>
  </si>
  <si>
    <t>Bill Magee</t>
  </si>
  <si>
    <t>Eighteenth</t>
  </si>
  <si>
    <t>Fifty-Second</t>
  </si>
  <si>
    <t>One Hundred Forty-Sixth</t>
  </si>
  <si>
    <t>Eighty-Third</t>
  </si>
  <si>
    <t>One Hundred Twelfth</t>
  </si>
  <si>
    <t>Nineteenth</t>
  </si>
  <si>
    <t>Fifty-Third</t>
  </si>
  <si>
    <t>Eighty-Fourth</t>
  </si>
  <si>
    <t>Twentieth</t>
  </si>
  <si>
    <t>Fifty-Fourth</t>
  </si>
  <si>
    <t>One Hundred Forty-Seventh</t>
  </si>
  <si>
    <t>Eighty-Fifth</t>
  </si>
  <si>
    <t>Fifty-Fifth</t>
  </si>
  <si>
    <t>One Hundred Thirteenth</t>
  </si>
  <si>
    <t>Twenty-First</t>
  </si>
  <si>
    <t>Eighty-Sixth</t>
  </si>
  <si>
    <t>One Hundred Forty-Eighth</t>
  </si>
  <si>
    <t>Fifty-Sixth</t>
  </si>
  <si>
    <t>One Hundred Fourteenth</t>
  </si>
  <si>
    <t>Twenty-Second</t>
  </si>
  <si>
    <t>Eighty-Seventh</t>
  </si>
  <si>
    <t>Fifty-Seventh</t>
  </si>
  <si>
    <t>One Hundred Forty-Ninth</t>
  </si>
  <si>
    <t>Twenty-Third</t>
  </si>
  <si>
    <t>One Hundred Fifteenth</t>
  </si>
  <si>
    <t>Fifty-Eighth</t>
  </si>
  <si>
    <t xml:space="preserve">                               Perry</t>
  </si>
  <si>
    <t>N. Nick Perry</t>
  </si>
  <si>
    <t>Eighty-Eighth</t>
  </si>
  <si>
    <t>One Hundred Fiftieth</t>
  </si>
  <si>
    <t>Twenty-Fourth</t>
  </si>
  <si>
    <t xml:space="preserve">                            Weprin</t>
  </si>
  <si>
    <t>One Hundred Sixteenth</t>
  </si>
  <si>
    <t>Fifty-Ninth</t>
  </si>
  <si>
    <t>Eighty-Ninth</t>
  </si>
  <si>
    <t>Twenty-Fifth</t>
  </si>
  <si>
    <t>One Hundred Seventeenth</t>
  </si>
  <si>
    <t>Sixtieth</t>
  </si>
  <si>
    <t>1  Political party abbreviations:</t>
  </si>
  <si>
    <t>Ninetieth</t>
  </si>
  <si>
    <t>Sandra R. Galef</t>
  </si>
  <si>
    <t>Twenty-Sixth</t>
  </si>
  <si>
    <t>One Hundred Eighteenth</t>
  </si>
  <si>
    <t>Twenty-Seventh</t>
  </si>
  <si>
    <t>Ninety-First</t>
  </si>
  <si>
    <t>One Hundred Nineteenth</t>
  </si>
  <si>
    <t>Twenty-Eighth</t>
  </si>
  <si>
    <t>One Hundred Twentieth</t>
  </si>
  <si>
    <t>Twenty-Ninth</t>
  </si>
  <si>
    <t>One Hundred Twenty-First</t>
  </si>
  <si>
    <t>One Hundred Twenty-Second</t>
  </si>
  <si>
    <t>One Hundred Twenty-Third</t>
  </si>
  <si>
    <t>One Hundred Twenty-Fourth</t>
  </si>
  <si>
    <t xml:space="preserve">                Republican</t>
  </si>
  <si>
    <t xml:space="preserve">              Englebright</t>
  </si>
  <si>
    <t>Cymbrowitz</t>
  </si>
  <si>
    <t>Pretlow</t>
  </si>
  <si>
    <t>Cahill</t>
  </si>
  <si>
    <t>Magnarelli</t>
  </si>
  <si>
    <t>William B. Magnarelli</t>
  </si>
  <si>
    <t>Schimminger</t>
  </si>
  <si>
    <t>Morelle</t>
  </si>
  <si>
    <t>Gantt</t>
  </si>
  <si>
    <t>Robin Schimminger</t>
  </si>
  <si>
    <t xml:space="preserve">                  Democratic</t>
  </si>
  <si>
    <t>Englebright</t>
  </si>
  <si>
    <t>Steven Cymbrowitz</t>
  </si>
  <si>
    <t>Colton</t>
  </si>
  <si>
    <t>Gottfried</t>
  </si>
  <si>
    <t>Jose Rivera</t>
  </si>
  <si>
    <t>Rivera</t>
  </si>
  <si>
    <t>Heastie</t>
  </si>
  <si>
    <t>Carl E. Heastie</t>
  </si>
  <si>
    <t>Paulin</t>
  </si>
  <si>
    <t>Amy R. Paulin</t>
  </si>
  <si>
    <t>Kevin A. Cahill</t>
  </si>
  <si>
    <t>Finch</t>
  </si>
  <si>
    <t>Gary D. Finch</t>
  </si>
  <si>
    <t>Kolb</t>
  </si>
  <si>
    <t>Brian M. Kolb</t>
  </si>
  <si>
    <t>McDonough</t>
  </si>
  <si>
    <t>David G. McDonough</t>
  </si>
  <si>
    <t>Independence</t>
  </si>
  <si>
    <t>Thiele, Jr.</t>
  </si>
  <si>
    <t>Ramos</t>
  </si>
  <si>
    <t>Philip R. Ramos</t>
  </si>
  <si>
    <t>Fitzpatrick</t>
  </si>
  <si>
    <t>Michael J. Fitzpatrick</t>
  </si>
  <si>
    <t>Hooper</t>
  </si>
  <si>
    <t>Earlene Hooper</t>
  </si>
  <si>
    <t>Titus</t>
  </si>
  <si>
    <t>Chowdhury</t>
  </si>
  <si>
    <t>Cusick</t>
  </si>
  <si>
    <t>Michael J. Cusick</t>
  </si>
  <si>
    <t>O'Donnell</t>
  </si>
  <si>
    <t>Daniel J. O'Donnell</t>
  </si>
  <si>
    <t>Arroyo</t>
  </si>
  <si>
    <t>Galef</t>
  </si>
  <si>
    <t>Miller</t>
  </si>
  <si>
    <t>Crouch</t>
  </si>
  <si>
    <t>Butler</t>
  </si>
  <si>
    <t>Barclay</t>
  </si>
  <si>
    <t>Lifton</t>
  </si>
  <si>
    <t>Barbara S. Lifton</t>
  </si>
  <si>
    <t>Lupardo</t>
  </si>
  <si>
    <t>Raia</t>
  </si>
  <si>
    <t>Andrew P. Raia</t>
  </si>
  <si>
    <t>Clifford W. Crouch</t>
  </si>
  <si>
    <t>Gunther</t>
  </si>
  <si>
    <t>Aileen M. Gunther</t>
  </si>
  <si>
    <t>Saladino</t>
  </si>
  <si>
    <t>Lavine</t>
  </si>
  <si>
    <t>Charles D. Lavine</t>
  </si>
  <si>
    <t>Benedetto</t>
  </si>
  <si>
    <t>Michael R. Benedetto</t>
  </si>
  <si>
    <t>Zebrowski</t>
  </si>
  <si>
    <t>William A. Barclay</t>
  </si>
  <si>
    <t>Donna A. Lupardo</t>
  </si>
  <si>
    <t>Oaks</t>
  </si>
  <si>
    <t>McKevitt</t>
  </si>
  <si>
    <t>Thomas McKevitt</t>
  </si>
  <si>
    <t>Hawley</t>
  </si>
  <si>
    <t>Stephen M. Hawley</t>
  </si>
  <si>
    <t>Hevesi</t>
  </si>
  <si>
    <t>Andrew D. Hevesi</t>
  </si>
  <si>
    <t>Giglio</t>
  </si>
  <si>
    <t>Joseph M. Giglio</t>
  </si>
  <si>
    <t>Conservative</t>
  </si>
  <si>
    <t xml:space="preserve">                     Abbate, Jr.</t>
  </si>
  <si>
    <t>Peter J. Abbate, Jr.</t>
  </si>
  <si>
    <t>Rosenthal</t>
  </si>
  <si>
    <t>Linda B. Rosenthal</t>
  </si>
  <si>
    <t>Brian P. Kavanagh</t>
  </si>
  <si>
    <t>Kavanagh</t>
  </si>
  <si>
    <t>Jaffee</t>
  </si>
  <si>
    <t>Ellen C. Jaffee</t>
  </si>
  <si>
    <t>Stirpe, Jr.</t>
  </si>
  <si>
    <t>Lopez</t>
  </si>
  <si>
    <t>Peter D. Lopez</t>
  </si>
  <si>
    <t>Titone</t>
  </si>
  <si>
    <t>DenDekker</t>
  </si>
  <si>
    <t>Michael G. DenDekker</t>
  </si>
  <si>
    <t>Barron</t>
  </si>
  <si>
    <t>Matthew J. Titone</t>
  </si>
  <si>
    <t>Skartados</t>
  </si>
  <si>
    <t>McLaughlin</t>
  </si>
  <si>
    <t>Russell</t>
  </si>
  <si>
    <t>Addie Jenne Russell</t>
  </si>
  <si>
    <t>Crespo</t>
  </si>
  <si>
    <t>Michele R. Titus</t>
  </si>
  <si>
    <t>Kenneth P. Zebrowski</t>
  </si>
  <si>
    <t>One Hundred Fortieth</t>
  </si>
  <si>
    <t>Murray</t>
  </si>
  <si>
    <t>Graf</t>
  </si>
  <si>
    <t>Alfred C. Graf</t>
  </si>
  <si>
    <t>Saladino (TRP)</t>
  </si>
  <si>
    <t>Curran</t>
  </si>
  <si>
    <t>Brian F. Curran</t>
  </si>
  <si>
    <t>Montesano</t>
  </si>
  <si>
    <t>Michael A. Montesano</t>
  </si>
  <si>
    <t>McDonough (TRP)</t>
  </si>
  <si>
    <t>Ra</t>
  </si>
  <si>
    <t>Ra (TRP)</t>
  </si>
  <si>
    <t>Edward P. Ra</t>
  </si>
  <si>
    <t>David I. Weprin</t>
  </si>
  <si>
    <t>Braunstein</t>
  </si>
  <si>
    <t>Edward C. Braunstein</t>
  </si>
  <si>
    <t>Simotas</t>
  </si>
  <si>
    <t>Aravella Simotas</t>
  </si>
  <si>
    <t>Nolan</t>
  </si>
  <si>
    <t>Michael G. Miller</t>
  </si>
  <si>
    <t>Moya</t>
  </si>
  <si>
    <t>Francisco P. Moya</t>
  </si>
  <si>
    <t>Weinstein</t>
  </si>
  <si>
    <t>Lallave</t>
  </si>
  <si>
    <t>Malliotakis</t>
  </si>
  <si>
    <t>Nicole Malliotakis</t>
  </si>
  <si>
    <t>Rodriguez</t>
  </si>
  <si>
    <t>Robert J. Rodriguez</t>
  </si>
  <si>
    <t>Wright</t>
  </si>
  <si>
    <t>Dinowitz</t>
  </si>
  <si>
    <t>Marcos A. Crespo</t>
  </si>
  <si>
    <t>Abinanti</t>
  </si>
  <si>
    <t>Thomas J. Abinanti</t>
  </si>
  <si>
    <t>Santabarbara</t>
  </si>
  <si>
    <t>Blankenbush</t>
  </si>
  <si>
    <t>Bronson</t>
  </si>
  <si>
    <t>Harry B. Bronson</t>
  </si>
  <si>
    <t>Johns</t>
  </si>
  <si>
    <t>Mark C. Johns</t>
  </si>
  <si>
    <t>Palmesano</t>
  </si>
  <si>
    <t>Friend</t>
  </si>
  <si>
    <t>Christopher S. Friend</t>
  </si>
  <si>
    <t>Ceretto</t>
  </si>
  <si>
    <t>Goodell</t>
  </si>
  <si>
    <t>Andrew Goodell</t>
  </si>
  <si>
    <t xml:space="preserve">    TRP — Tax Revolt Party</t>
  </si>
  <si>
    <t>One Hundredth</t>
  </si>
  <si>
    <t>Garbarino</t>
  </si>
  <si>
    <t>Andrew R. Garbarino</t>
  </si>
  <si>
    <t>Lupinacci</t>
  </si>
  <si>
    <t>Chad A. Lupinacci</t>
  </si>
  <si>
    <t>McKevitt (TRP)</t>
  </si>
  <si>
    <t>Port</t>
  </si>
  <si>
    <t>Solages</t>
  </si>
  <si>
    <t>Michaelle C. Solages</t>
  </si>
  <si>
    <t>Rozic</t>
  </si>
  <si>
    <t>Nily D. Rozic</t>
  </si>
  <si>
    <t>Simanowitz</t>
  </si>
  <si>
    <t>Michael A. Simanowitz</t>
  </si>
  <si>
    <t>Kim</t>
  </si>
  <si>
    <t>Mosley, III</t>
  </si>
  <si>
    <t>Walter T. Mosley, III</t>
  </si>
  <si>
    <t>Quart</t>
  </si>
  <si>
    <t>Dan Quart</t>
  </si>
  <si>
    <t>Evans</t>
  </si>
  <si>
    <t>Gjonaj</t>
  </si>
  <si>
    <t>Torres</t>
  </si>
  <si>
    <t>Mark Gjonaj</t>
  </si>
  <si>
    <t>Britt, Jr.</t>
  </si>
  <si>
    <t>King</t>
  </si>
  <si>
    <t>Sepulveda</t>
  </si>
  <si>
    <t>Dennis</t>
  </si>
  <si>
    <t>Luis R. Sepulveda</t>
  </si>
  <si>
    <t>Mayer</t>
  </si>
  <si>
    <t>Shelley B. Mayer</t>
  </si>
  <si>
    <t>Otis</t>
  </si>
  <si>
    <t>Steven Otis</t>
  </si>
  <si>
    <t>Buchwald</t>
  </si>
  <si>
    <t>David Buchwald</t>
  </si>
  <si>
    <t>Skoufis</t>
  </si>
  <si>
    <t>James G. Skoufis</t>
  </si>
  <si>
    <t>Lalor</t>
  </si>
  <si>
    <t>Barrett</t>
  </si>
  <si>
    <t>Didi Barrett</t>
  </si>
  <si>
    <t>Steven F. McLaughlin</t>
  </si>
  <si>
    <t>McDonald, III</t>
  </si>
  <si>
    <t>John T. McDonald, III</t>
  </si>
  <si>
    <t>Fahy</t>
  </si>
  <si>
    <t>Patricia A. Fahy</t>
  </si>
  <si>
    <t>Steck</t>
  </si>
  <si>
    <t>Phillip G. Steck</t>
  </si>
  <si>
    <t>Angelo L. Santabarbara</t>
  </si>
  <si>
    <t>Woerner</t>
  </si>
  <si>
    <t>Stec</t>
  </si>
  <si>
    <t>Daniel G. Stec</t>
  </si>
  <si>
    <t>Kenneth Blankenbush</t>
  </si>
  <si>
    <t>Brindisi</t>
  </si>
  <si>
    <t>Anthony J. Brindisi</t>
  </si>
  <si>
    <t>Magee</t>
  </si>
  <si>
    <t>Albert A. Stirpe, Jr.</t>
  </si>
  <si>
    <t>Kearns</t>
  </si>
  <si>
    <t>Michael P. Kearns</t>
  </si>
  <si>
    <t>Walter</t>
  </si>
  <si>
    <t>Raymond W. Walter</t>
  </si>
  <si>
    <t>DiPietro</t>
  </si>
  <si>
    <t>David J. DiPietro</t>
  </si>
  <si>
    <t>Ryan</t>
  </si>
  <si>
    <t>Sean M. Ryan</t>
  </si>
  <si>
    <t>Palumbo</t>
  </si>
  <si>
    <t>Anthony H. Palumbo</t>
  </si>
  <si>
    <t>Davila</t>
  </si>
  <si>
    <t>Maritza Davila</t>
  </si>
  <si>
    <t>Pichardo</t>
  </si>
  <si>
    <t>Collins</t>
  </si>
  <si>
    <t>Schiliro</t>
  </si>
  <si>
    <t>Dean Murray</t>
  </si>
  <si>
    <t>Slinkosky</t>
  </si>
  <si>
    <t>Joseph S. Saladino</t>
  </si>
  <si>
    <t>Jean-Pierre</t>
  </si>
  <si>
    <t>Kimberly Jean-Pierre</t>
  </si>
  <si>
    <t>Todd Smith</t>
  </si>
  <si>
    <t>Ronald T. Kim</t>
  </si>
  <si>
    <t>Bichotte</t>
  </si>
  <si>
    <t>Williams</t>
  </si>
  <si>
    <t>Rodneyse Bichotte</t>
  </si>
  <si>
    <t>Usher</t>
  </si>
  <si>
    <t>Simon</t>
  </si>
  <si>
    <t>Jo Anne Simon</t>
  </si>
  <si>
    <t>Dilan</t>
  </si>
  <si>
    <t>Erik Martin Dilan</t>
  </si>
  <si>
    <t>Walker</t>
  </si>
  <si>
    <t>Jackson</t>
  </si>
  <si>
    <t>Ferretti</t>
  </si>
  <si>
    <t>Charles Barron</t>
  </si>
  <si>
    <t>Tirone, Jr.</t>
  </si>
  <si>
    <t>Johnson</t>
  </si>
  <si>
    <t>Seawright</t>
  </si>
  <si>
    <t>Rebecca A. Seawright</t>
  </si>
  <si>
    <t>Joyner</t>
  </si>
  <si>
    <t>Eggleston</t>
  </si>
  <si>
    <t>Latoya Joyner</t>
  </si>
  <si>
    <t>Blake</t>
  </si>
  <si>
    <t>Michael</t>
  </si>
  <si>
    <t>Michael A. Blake</t>
  </si>
  <si>
    <t>Goodman</t>
  </si>
  <si>
    <t>Reed</t>
  </si>
  <si>
    <t>Santander</t>
  </si>
  <si>
    <t>Marte</t>
  </si>
  <si>
    <t>Victor M. Pichardo</t>
  </si>
  <si>
    <t>J. Gary Pretlow</t>
  </si>
  <si>
    <t>Brabenec</t>
  </si>
  <si>
    <t>Karl A. Brabenec</t>
  </si>
  <si>
    <t>Frank Skartados</t>
  </si>
  <si>
    <t>Kieran M. Lalor</t>
  </si>
  <si>
    <t>Calhoun</t>
  </si>
  <si>
    <t>Vroman</t>
  </si>
  <si>
    <t>Carrie Woerner</t>
  </si>
  <si>
    <t>Marc W. Butler</t>
  </si>
  <si>
    <t>Salka</t>
  </si>
  <si>
    <t>Masser, Jr.</t>
  </si>
  <si>
    <t>Dwire</t>
  </si>
  <si>
    <t>Philip A. Palmesano</t>
  </si>
  <si>
    <t>Lawrence</t>
  </si>
  <si>
    <t>Peter A. Lawerence</t>
  </si>
  <si>
    <t>Meyer</t>
  </si>
  <si>
    <t>Richardson</t>
  </si>
  <si>
    <t>Diana C. Richardson</t>
  </si>
  <si>
    <t>Conroy</t>
  </si>
  <si>
    <t>Schoen</t>
  </si>
  <si>
    <t>Weissbard</t>
  </si>
  <si>
    <t>Gambini</t>
  </si>
  <si>
    <t>Macellaro</t>
  </si>
  <si>
    <t>Cunningham</t>
  </si>
  <si>
    <t>Perez</t>
  </si>
  <si>
    <t>Cullinane</t>
  </si>
  <si>
    <t>Rumsey</t>
  </si>
  <si>
    <t>Vitale</t>
  </si>
  <si>
    <t>Reid</t>
  </si>
  <si>
    <t>Hart</t>
  </si>
  <si>
    <t>Montesano (RFM)</t>
  </si>
  <si>
    <t>D'Urso</t>
  </si>
  <si>
    <t>Varvaro</t>
  </si>
  <si>
    <t>Anthony D'Urso</t>
  </si>
  <si>
    <t>Malin</t>
  </si>
  <si>
    <t>Todd Smith (RFM)</t>
  </si>
  <si>
    <t>Ra (RFM)</t>
  </si>
  <si>
    <t>Eramo</t>
  </si>
  <si>
    <t>Miller (TRP)</t>
  </si>
  <si>
    <t>Melissa L. Miller</t>
  </si>
  <si>
    <t>Bourgeois</t>
  </si>
  <si>
    <t>Curran (RFM)</t>
  </si>
  <si>
    <t>Bogle</t>
  </si>
  <si>
    <t>Bogle (RFM)</t>
  </si>
  <si>
    <t>Pheffer Amato</t>
  </si>
  <si>
    <t>Zwim</t>
  </si>
  <si>
    <t>Zwim (RFM)</t>
  </si>
  <si>
    <t>Stacey G. Pheffer Amato</t>
  </si>
  <si>
    <t>Harris</t>
  </si>
  <si>
    <t>Ali Chohan</t>
  </si>
  <si>
    <t>Hyndman</t>
  </si>
  <si>
    <t>Alicia L. Hyndman</t>
  </si>
  <si>
    <t>Barnwell</t>
  </si>
  <si>
    <t>Nunziato</t>
  </si>
  <si>
    <t>Brian Barnwell</t>
  </si>
  <si>
    <t>Vanel</t>
  </si>
  <si>
    <t>Wellington</t>
  </si>
  <si>
    <t>Gadsden (NIP)</t>
  </si>
  <si>
    <t>Clyde Vanel</t>
  </si>
  <si>
    <t>Maldonado</t>
  </si>
  <si>
    <t>Carroll</t>
  </si>
  <si>
    <t>Nocera</t>
  </si>
  <si>
    <t>Robert C. Carroll</t>
  </si>
  <si>
    <t>Gintchanski</t>
  </si>
  <si>
    <t>Regina-Potter</t>
  </si>
  <si>
    <t>Pamela Harris</t>
  </si>
  <si>
    <t>Shahar</t>
  </si>
  <si>
    <t>Hikind</t>
  </si>
  <si>
    <t>Mangino</t>
  </si>
  <si>
    <t>Latrice M. Walker</t>
  </si>
  <si>
    <t>Tremaine S. Wright</t>
  </si>
  <si>
    <t>Perry</t>
  </si>
  <si>
    <t>Jaime R. Williams</t>
  </si>
  <si>
    <t>Castorina, Jr.</t>
  </si>
  <si>
    <t>Ronald Castorina, Jr.</t>
  </si>
  <si>
    <t>Niou</t>
  </si>
  <si>
    <t>Jung</t>
  </si>
  <si>
    <t>Yuh-Line Niou</t>
  </si>
  <si>
    <t>Glick</t>
  </si>
  <si>
    <t>Drusin</t>
  </si>
  <si>
    <t>Carreras</t>
  </si>
  <si>
    <t>Carreras (SDP)</t>
  </si>
  <si>
    <t>Garrin</t>
  </si>
  <si>
    <t>Dickens</t>
  </si>
  <si>
    <t>Tarrant</t>
  </si>
  <si>
    <t>Inez E. Dickens</t>
  </si>
  <si>
    <t>Stanback</t>
  </si>
  <si>
    <t>De La Rosa</t>
  </si>
  <si>
    <t>Carmen N. De La Rosa</t>
  </si>
  <si>
    <t>Harary</t>
  </si>
  <si>
    <t>Harary (SDP)</t>
  </si>
  <si>
    <t>Scala</t>
  </si>
  <si>
    <t>Maffia</t>
  </si>
  <si>
    <t>Kostakopoulos</t>
  </si>
  <si>
    <t>Kostakopoulos (SDP)</t>
  </si>
  <si>
    <t>Malavolta</t>
  </si>
  <si>
    <t>Sullivan</t>
  </si>
  <si>
    <t>Marricco</t>
  </si>
  <si>
    <t>Nieves</t>
  </si>
  <si>
    <t>Decintio, Jr.</t>
  </si>
  <si>
    <t>Higbie</t>
  </si>
  <si>
    <t>Byrne</t>
  </si>
  <si>
    <t>Kevin M. Byrne</t>
  </si>
  <si>
    <t>Purdy</t>
  </si>
  <si>
    <t>Chabot</t>
  </si>
  <si>
    <t>Gulla</t>
  </si>
  <si>
    <t>Wieder</t>
  </si>
  <si>
    <t>Brabenec (TCN)</t>
  </si>
  <si>
    <t>Schmitt</t>
  </si>
  <si>
    <t>Feldmeier</t>
  </si>
  <si>
    <t>Kelso</t>
  </si>
  <si>
    <t>Brian D. Miller</t>
  </si>
  <si>
    <t>Hayes</t>
  </si>
  <si>
    <t>Banuchi, Sr.</t>
  </si>
  <si>
    <t>Murphy</t>
  </si>
  <si>
    <t>Godlewski</t>
  </si>
  <si>
    <t>Walsh</t>
  </si>
  <si>
    <t>Mary Beth Walsh</t>
  </si>
  <si>
    <t>Boyark</t>
  </si>
  <si>
    <t>Jones</t>
  </si>
  <si>
    <t>Mulverhill</t>
  </si>
  <si>
    <t>D. Billy Jones</t>
  </si>
  <si>
    <t>Nixon, Jr.</t>
  </si>
  <si>
    <t>Batrowny</t>
  </si>
  <si>
    <t>Giordano</t>
  </si>
  <si>
    <t>Becallo</t>
  </si>
  <si>
    <t>Hunter</t>
  </si>
  <si>
    <t>Pamela Jo Hunter</t>
  </si>
  <si>
    <t>Baer</t>
  </si>
  <si>
    <t>Errigo</t>
  </si>
  <si>
    <t>Joe Errigo</t>
  </si>
  <si>
    <t>Styk</t>
  </si>
  <si>
    <t>Zinck</t>
  </si>
  <si>
    <t>Rotolo</t>
  </si>
  <si>
    <t>Kostecky</t>
  </si>
  <si>
    <t>Peoples-Stokes</t>
  </si>
  <si>
    <t>Crystal D. Peoples-Stokes</t>
  </si>
  <si>
    <t>Wallace</t>
  </si>
  <si>
    <t>Sugg</t>
  </si>
  <si>
    <t>Monica P. Wallace</t>
  </si>
  <si>
    <t>Norris</t>
  </si>
  <si>
    <t>Michael J. Norris</t>
  </si>
  <si>
    <t>Morinello</t>
  </si>
  <si>
    <t>Angelo J. Morinello</t>
  </si>
  <si>
    <t>Perdue</t>
  </si>
  <si>
    <t>SOURCE: New York State Board of Elections; www.elections.ny.gov (last viewed January 11, 2017).</t>
  </si>
  <si>
    <t xml:space="preserve">    TCN — Tax Cuts Now</t>
  </si>
  <si>
    <r>
      <t xml:space="preserve">                        Other</t>
    </r>
    <r>
      <rPr>
        <vertAlign val="superscript"/>
        <sz val="11"/>
        <rFont val="Arial"/>
        <family val="2"/>
      </rPr>
      <t>1</t>
    </r>
  </si>
  <si>
    <t>Working 
Families</t>
  </si>
  <si>
    <t>Blank, Void, 
and Scattering</t>
  </si>
  <si>
    <t>Women's
Equality</t>
  </si>
  <si>
    <t>Reform</t>
  </si>
  <si>
    <t>Green</t>
  </si>
  <si>
    <t>Libertarian</t>
  </si>
  <si>
    <t>Smith</t>
  </si>
  <si>
    <t>Peress</t>
  </si>
  <si>
    <t>Naham</t>
  </si>
  <si>
    <t>Dwyer</t>
  </si>
  <si>
    <t>Cavaco</t>
  </si>
  <si>
    <t>Cancel</t>
  </si>
  <si>
    <t>Butterfield</t>
  </si>
  <si>
    <t>Haray</t>
  </si>
  <si>
    <t>Hutchins</t>
  </si>
  <si>
    <t>Zuger</t>
  </si>
  <si>
    <t>Barkenhagen</t>
  </si>
  <si>
    <t>Baney</t>
  </si>
  <si>
    <t>O'Connor</t>
  </si>
  <si>
    <t>Parker</t>
  </si>
  <si>
    <t>De Stefano</t>
  </si>
  <si>
    <t>Joseph P. De Stefano</t>
  </si>
  <si>
    <t>Kalinowski</t>
  </si>
  <si>
    <t>Hall</t>
  </si>
  <si>
    <t>Douglas M.Smith</t>
  </si>
  <si>
    <t>Murray, III</t>
  </si>
  <si>
    <t>Morrissey</t>
  </si>
  <si>
    <t>Pellegrino</t>
  </si>
  <si>
    <t>LiPetri</t>
  </si>
  <si>
    <t>Mike LiPetri</t>
  </si>
  <si>
    <t>Stern</t>
  </si>
  <si>
    <t>Steve Stern</t>
  </si>
  <si>
    <t>Sabella</t>
  </si>
  <si>
    <t>Rosen</t>
  </si>
  <si>
    <t>Monteleone</t>
  </si>
  <si>
    <t>Foley</t>
  </si>
  <si>
    <t>Divins, Jr.</t>
  </si>
  <si>
    <t>Snow</t>
  </si>
  <si>
    <t>Mikulin</t>
  </si>
  <si>
    <t>Mikulin (TRP)</t>
  </si>
  <si>
    <t>John K. Mikulin</t>
  </si>
  <si>
    <t>Raynor</t>
  </si>
  <si>
    <t>Lamarre</t>
  </si>
  <si>
    <t>Taylor R. Raynor</t>
  </si>
  <si>
    <t>Carr</t>
  </si>
  <si>
    <t>Vides</t>
  </si>
  <si>
    <t>Vobis</t>
  </si>
  <si>
    <t>Griffin</t>
  </si>
  <si>
    <t>Judy A. Griffin</t>
  </si>
  <si>
    <t>Moncion</t>
  </si>
  <si>
    <t>Pecorino</t>
  </si>
  <si>
    <t>Bressler</t>
  </si>
  <si>
    <t>Daniel A. Rosenthal</t>
  </si>
  <si>
    <t>Maio</t>
  </si>
  <si>
    <t>Maio (IMW)</t>
  </si>
  <si>
    <t>Butkiewicz</t>
  </si>
  <si>
    <t>Brian T. Barnwell</t>
  </si>
  <si>
    <t>Etwaroo</t>
  </si>
  <si>
    <t>Cruz</t>
  </si>
  <si>
    <t>Espinal</t>
  </si>
  <si>
    <t>Kalotee</t>
  </si>
  <si>
    <t>Catalina Cruz</t>
  </si>
  <si>
    <t>Scandalios</t>
  </si>
  <si>
    <t>Beckford</t>
  </si>
  <si>
    <t>Goldberg</t>
  </si>
  <si>
    <t>Frontus</t>
  </si>
  <si>
    <t>Saperstein</t>
  </si>
  <si>
    <t>Lustig-Elgrably</t>
  </si>
  <si>
    <t>Mathylde Frontus</t>
  </si>
  <si>
    <t>LaSalle</t>
  </si>
  <si>
    <t>Eichenstein</t>
  </si>
  <si>
    <t>Simcha Eichenstein</t>
  </si>
  <si>
    <t>Popkin</t>
  </si>
  <si>
    <t>Jo Anna Simon</t>
  </si>
  <si>
    <t>Washington</t>
  </si>
  <si>
    <t>Bates</t>
  </si>
  <si>
    <t>Fall</t>
  </si>
  <si>
    <t>Kane</t>
  </si>
  <si>
    <t>Falcone</t>
  </si>
  <si>
    <t>Charles D. Fall</t>
  </si>
  <si>
    <t>Reilly, Jr.</t>
  </si>
  <si>
    <t>Yost</t>
  </si>
  <si>
    <t>Michael W. Reilly, Jr.</t>
  </si>
  <si>
    <t>Dennie</t>
  </si>
  <si>
    <t>Baumel</t>
  </si>
  <si>
    <t>Nixon</t>
  </si>
  <si>
    <t>Cotenescu</t>
  </si>
  <si>
    <t>Taylor</t>
  </si>
  <si>
    <t>Alfred E. Taylor</t>
  </si>
  <si>
    <t>Ascherman</t>
  </si>
  <si>
    <t>Epstein</t>
  </si>
  <si>
    <t>Cooper</t>
  </si>
  <si>
    <t>Pagan</t>
  </si>
  <si>
    <t>Harvey D. Epstein</t>
  </si>
  <si>
    <t>Puliafito</t>
  </si>
  <si>
    <t>Carmichael</t>
  </si>
  <si>
    <t>Walters</t>
  </si>
  <si>
    <t>Fasano</t>
  </si>
  <si>
    <t>Fernandez</t>
  </si>
  <si>
    <t>Perri</t>
  </si>
  <si>
    <t>Nathalia Fernandez</t>
  </si>
  <si>
    <t>English</t>
  </si>
  <si>
    <t>Lee</t>
  </si>
  <si>
    <t>Cartagena</t>
  </si>
  <si>
    <t>Denis</t>
  </si>
  <si>
    <t>Septimo</t>
  </si>
  <si>
    <t>Lennon</t>
  </si>
  <si>
    <t>Bogdany</t>
  </si>
  <si>
    <t>Rivera-Diaz</t>
  </si>
  <si>
    <t>Reyes</t>
  </si>
  <si>
    <t>Marcus</t>
  </si>
  <si>
    <t>Karines Reyes</t>
  </si>
  <si>
    <t>Sayegh</t>
  </si>
  <si>
    <t>Pinion</t>
  </si>
  <si>
    <t>Nader Sayegh</t>
  </si>
  <si>
    <t>Nuculovic</t>
  </si>
  <si>
    <t>Gashi</t>
  </si>
  <si>
    <t>Chiulli</t>
  </si>
  <si>
    <t>Presti, Jr.</t>
  </si>
  <si>
    <t>Martens</t>
  </si>
  <si>
    <t>Rettig</t>
  </si>
  <si>
    <t>Colin J. Schmitt</t>
  </si>
  <si>
    <t>McEvoy</t>
  </si>
  <si>
    <t>O'Connor, Jr.</t>
  </si>
  <si>
    <t>Tague</t>
  </si>
  <si>
    <t>Christopher Tague</t>
  </si>
  <si>
    <t>Jacobson</t>
  </si>
  <si>
    <t>Manley</t>
  </si>
  <si>
    <t>Jonathan G. Jacobson</t>
  </si>
  <si>
    <t>Giardino</t>
  </si>
  <si>
    <t>Truitt</t>
  </si>
  <si>
    <t>Houghtling</t>
  </si>
  <si>
    <t>Ashby</t>
  </si>
  <si>
    <t>Jacob C. Ashby</t>
  </si>
  <si>
    <t>Porter</t>
  </si>
  <si>
    <t>Carey</t>
  </si>
  <si>
    <t>McGarry</t>
  </si>
  <si>
    <t>Zegers</t>
  </si>
  <si>
    <t>Wilson</t>
  </si>
  <si>
    <t>Jenne</t>
  </si>
  <si>
    <t>Walczyk</t>
  </si>
  <si>
    <t>Mark C. Walczyk</t>
  </si>
  <si>
    <t>Rubino</t>
  </si>
  <si>
    <t>Smullen</t>
  </si>
  <si>
    <t>Robert J. Smullen</t>
  </si>
  <si>
    <t>Buttenschon</t>
  </si>
  <si>
    <t>Bova, Jr.</t>
  </si>
  <si>
    <t>Marianne Buttenschon</t>
  </si>
  <si>
    <t>Tosh</t>
  </si>
  <si>
    <t>John J. Salka</t>
  </si>
  <si>
    <t>Libous</t>
  </si>
  <si>
    <t>Batman</t>
  </si>
  <si>
    <t>Paro</t>
  </si>
  <si>
    <t>Ott</t>
  </si>
  <si>
    <t>Comegys</t>
  </si>
  <si>
    <t>Manktelow</t>
  </si>
  <si>
    <t>Brian D. Manktelow</t>
  </si>
  <si>
    <t>Byrnes</t>
  </si>
  <si>
    <t>Marjorie L. Byrnes</t>
  </si>
  <si>
    <t>Gilchrist</t>
  </si>
  <si>
    <t>Romeo</t>
  </si>
  <si>
    <t>Jamie L. Romeo</t>
  </si>
  <si>
    <t>Iacovangelo</t>
  </si>
  <si>
    <t>Glogowski</t>
  </si>
  <si>
    <t>Ohar</t>
  </si>
  <si>
    <t>Phillips</t>
  </si>
  <si>
    <t>Burke</t>
  </si>
  <si>
    <t>Bohen</t>
  </si>
  <si>
    <t>Kennedy</t>
  </si>
  <si>
    <t>Patrick B. Burke</t>
  </si>
  <si>
    <t>Centinello, Sr.</t>
  </si>
  <si>
    <t>DiPasquale</t>
  </si>
  <si>
    <t>McMahon</t>
  </si>
  <si>
    <t>Lawvere</t>
  </si>
  <si>
    <t>Karen M. McMahon</t>
  </si>
  <si>
    <t>Wochensky</t>
  </si>
  <si>
    <t>Totaro</t>
  </si>
  <si>
    <t>Einach</t>
  </si>
  <si>
    <t xml:space="preserve">    IMW — In Maio We Trust</t>
  </si>
  <si>
    <t>SOURCE: New York State Board of Elections; www.elections.ny.gov (last viewed May 13, 2019).</t>
  </si>
  <si>
    <t>New York State by Assembly District — November 4, 2014</t>
  </si>
  <si>
    <t>DeSesa</t>
  </si>
  <si>
    <t>Hennessey</t>
  </si>
  <si>
    <t>Keegan</t>
  </si>
  <si>
    <t>Graf (SCC)</t>
  </si>
  <si>
    <t>Serpa</t>
  </si>
  <si>
    <t>Serpa (UCP)</t>
  </si>
  <si>
    <t>Pfeiffer</t>
  </si>
  <si>
    <t>Zove</t>
  </si>
  <si>
    <t>Buturla</t>
  </si>
  <si>
    <t>Feeney, Jr.</t>
  </si>
  <si>
    <t>Gallo</t>
  </si>
  <si>
    <t>Imbroto</t>
  </si>
  <si>
    <t>Tumminello</t>
  </si>
  <si>
    <t>Ferone</t>
  </si>
  <si>
    <t>Montesano (TRP)</t>
  </si>
  <si>
    <t>Schimel</t>
  </si>
  <si>
    <t>Michelle Schimel</t>
  </si>
  <si>
    <t>Clarke</t>
  </si>
  <si>
    <t>Todd Smith (TRP)</t>
  </si>
  <si>
    <t>Kaminsky</t>
  </si>
  <si>
    <t>Fertig</t>
  </si>
  <si>
    <t>Fertig (TRP)</t>
  </si>
  <si>
    <t>Todd D. Kaminsky</t>
  </si>
  <si>
    <t>Shapiro</t>
  </si>
  <si>
    <t>Curran (TRP)</t>
  </si>
  <si>
    <t>Goldfeder</t>
  </si>
  <si>
    <t>Phillip Goldfeder</t>
  </si>
  <si>
    <t>Weprin</t>
  </si>
  <si>
    <t xml:space="preserve">                 Scarborough</t>
  </si>
  <si>
    <t>Scarborough</t>
  </si>
  <si>
    <t>William Scarborough</t>
  </si>
  <si>
    <t>Markey</t>
  </si>
  <si>
    <t>Margaret M. Markey</t>
  </si>
  <si>
    <t xml:space="preserve">                               Clark</t>
  </si>
  <si>
    <t>Clark</t>
  </si>
  <si>
    <t>Barbara M. Clark</t>
  </si>
  <si>
    <t>Gim</t>
  </si>
  <si>
    <t>Yusim</t>
  </si>
  <si>
    <t>Kelly</t>
  </si>
  <si>
    <t>Camara</t>
  </si>
  <si>
    <t>Gore</t>
  </si>
  <si>
    <t>Karim Camara</t>
  </si>
  <si>
    <t>Raitport</t>
  </si>
  <si>
    <t>Patterson</t>
  </si>
  <si>
    <t>Davis (LYP)</t>
  </si>
  <si>
    <t xml:space="preserve">                          Brennan</t>
  </si>
  <si>
    <t>Yusupov</t>
  </si>
  <si>
    <t>Brennan</t>
  </si>
  <si>
    <t>James F. Brennan</t>
  </si>
  <si>
    <t>Akselrod</t>
  </si>
  <si>
    <t>Brook-Krasny</t>
  </si>
  <si>
    <t>Lilikakis</t>
  </si>
  <si>
    <t>Alec Brook-Krasny</t>
  </si>
  <si>
    <t>Baranello</t>
  </si>
  <si>
    <t>Caller</t>
  </si>
  <si>
    <t>Caller (HJP)</t>
  </si>
  <si>
    <t>Davidson, Jr.</t>
  </si>
  <si>
    <t>Palacios-Serrano</t>
  </si>
  <si>
    <t>Jasilli</t>
  </si>
  <si>
    <t>Sikora</t>
  </si>
  <si>
    <t>Council</t>
  </si>
  <si>
    <t>Boozer</t>
  </si>
  <si>
    <t>Latrice Monique Walker</t>
  </si>
  <si>
    <t>Robinson</t>
  </si>
  <si>
    <t>Alston</t>
  </si>
  <si>
    <t>Annette M. Robinson</t>
  </si>
  <si>
    <t>Persaud</t>
  </si>
  <si>
    <t>Roxanne J. Persaud</t>
  </si>
  <si>
    <t>Bates, Sr.</t>
  </si>
  <si>
    <t>Borelli</t>
  </si>
  <si>
    <t>Joseph C. Borelli</t>
  </si>
  <si>
    <t>Melendez</t>
  </si>
  <si>
    <t>Silver</t>
  </si>
  <si>
    <t>Koetz</t>
  </si>
  <si>
    <t>Sheldon Silver</t>
  </si>
  <si>
    <t>Woods</t>
  </si>
  <si>
    <t>Meadows (PGP)</t>
  </si>
  <si>
    <t xml:space="preserve">                            Wright</t>
  </si>
  <si>
    <t>Moore</t>
  </si>
  <si>
    <t>Keith L. T. Wright</t>
  </si>
  <si>
    <t>Linares</t>
  </si>
  <si>
    <t>Cabrera</t>
  </si>
  <si>
    <t>Guillermo Linares</t>
  </si>
  <si>
    <t>Casavis</t>
  </si>
  <si>
    <t>DeMell</t>
  </si>
  <si>
    <t>Garland</t>
  </si>
  <si>
    <t>Garland (DTD)</t>
  </si>
  <si>
    <t>Reyes Acosta</t>
  </si>
  <si>
    <t>Tirado</t>
  </si>
  <si>
    <t>Eginton</t>
  </si>
  <si>
    <t>Holloway</t>
  </si>
  <si>
    <t>Molina</t>
  </si>
  <si>
    <t>Chidi Oleh</t>
  </si>
  <si>
    <t>Santos</t>
  </si>
  <si>
    <t>Duffy</t>
  </si>
  <si>
    <t>Falk</t>
  </si>
  <si>
    <t>Katz</t>
  </si>
  <si>
    <t>Stephen M. Katz</t>
  </si>
  <si>
    <t>Zebrowski (PHP)</t>
  </si>
  <si>
    <t>Romanowski</t>
  </si>
  <si>
    <t>Tutini</t>
  </si>
  <si>
    <t>Castricone (UMP)</t>
  </si>
  <si>
    <t>Cocchiara</t>
  </si>
  <si>
    <t>Tenney</t>
  </si>
  <si>
    <t>Farber</t>
  </si>
  <si>
    <t>Claudia Tenney</t>
  </si>
  <si>
    <t>Roberts</t>
  </si>
  <si>
    <t>Green-Brown</t>
  </si>
  <si>
    <t>Kelsey</t>
  </si>
  <si>
    <t>Malone</t>
  </si>
  <si>
    <t>McLaughlin (SCC)</t>
  </si>
  <si>
    <t>Gottstein, Jr.</t>
  </si>
  <si>
    <t>Gottstein, Jr. (LAJ)</t>
  </si>
  <si>
    <t>Calhoun (SCC)</t>
  </si>
  <si>
    <t>Jasiewicz</t>
  </si>
  <si>
    <t>Hickey</t>
  </si>
  <si>
    <t>Tedisco</t>
  </si>
  <si>
    <t>Tedisco (SCC)</t>
  </si>
  <si>
    <t>James N. Tedisco</t>
  </si>
  <si>
    <t>Stallmer</t>
  </si>
  <si>
    <t>Duprey</t>
  </si>
  <si>
    <t>Bisso</t>
  </si>
  <si>
    <t>Janet L. Duprey</t>
  </si>
  <si>
    <t>Byrne, III</t>
  </si>
  <si>
    <t>Finley</t>
  </si>
  <si>
    <t>Friend (SCC)</t>
  </si>
  <si>
    <t>Demarco</t>
  </si>
  <si>
    <t>Sharon</t>
  </si>
  <si>
    <t>Sam Roberts</t>
  </si>
  <si>
    <t>Zaccaria</t>
  </si>
  <si>
    <t>Nojay</t>
  </si>
  <si>
    <t>Bill Nojay</t>
  </si>
  <si>
    <t>Pudup</t>
  </si>
  <si>
    <t>Lewis (RGU)</t>
  </si>
  <si>
    <t>Vazquez</t>
  </si>
  <si>
    <t>Reece</t>
  </si>
  <si>
    <t>Peoples Stokes</t>
  </si>
  <si>
    <t>Crystal D. Peoples Stokes</t>
  </si>
  <si>
    <t>Mazurek</t>
  </si>
  <si>
    <t>Wozniak</t>
  </si>
  <si>
    <t>Brandon</t>
  </si>
  <si>
    <t>Angela M. Wozniak</t>
  </si>
  <si>
    <t>Corwin</t>
  </si>
  <si>
    <t>Jane L. Corwin</t>
  </si>
  <si>
    <t>John D. Ceretto</t>
  </si>
  <si>
    <t>Walter (SCC)</t>
  </si>
  <si>
    <t>Bratek</t>
  </si>
  <si>
    <t>Yochim</t>
  </si>
  <si>
    <t xml:space="preserve">    DTD — Dump the Dump Party</t>
  </si>
  <si>
    <t xml:space="preserve">    HJP — Housing &amp; Jobs Party</t>
  </si>
  <si>
    <t xml:space="preserve">    LAJ — Life &amp; Justice Party</t>
  </si>
  <si>
    <t xml:space="preserve">    LYP — Love Yourself Party</t>
  </si>
  <si>
    <t xml:space="preserve">    PGP — Progressive</t>
  </si>
  <si>
    <t xml:space="preserve">    PHP — Preserve Hudson</t>
  </si>
  <si>
    <t xml:space="preserve">    RGU — Rochester &amp; Gates United</t>
  </si>
  <si>
    <t xml:space="preserve">    SCC — Stop Common Core Party</t>
  </si>
  <si>
    <t xml:space="preserve">    UCP — United Citizens Party</t>
  </si>
  <si>
    <t xml:space="preserve">    UMP — United Monroe Party</t>
  </si>
  <si>
    <t>2  Special election held on May 5, 2015.</t>
  </si>
  <si>
    <t>SOURCE: New York State Board of Elections; www.elections.ny.gov (last viewed June 4, 2015).</t>
  </si>
  <si>
    <r>
      <t>Forty-Third</t>
    </r>
    <r>
      <rPr>
        <vertAlign val="superscript"/>
        <sz val="11"/>
        <rFont val="Arial"/>
        <family val="2"/>
      </rPr>
      <t>2</t>
    </r>
  </si>
  <si>
    <t>Tarr</t>
  </si>
  <si>
    <t>New York State by Assembly District — November 6, 2012</t>
  </si>
  <si>
    <t>Deegan</t>
  </si>
  <si>
    <t>Losquadro</t>
  </si>
  <si>
    <t>Daniel P. Losquadro</t>
  </si>
  <si>
    <t>McManmon</t>
  </si>
  <si>
    <t>Edward J. Hennessey</t>
  </si>
  <si>
    <t>McKee</t>
  </si>
  <si>
    <t>Salamone</t>
  </si>
  <si>
    <t>Troche</t>
  </si>
  <si>
    <t>Bodkin</t>
  </si>
  <si>
    <t>Garbarino (MSP)</t>
  </si>
  <si>
    <t>Safer</t>
  </si>
  <si>
    <t>Cherlin</t>
  </si>
  <si>
    <t>Joseph P. Saladino</t>
  </si>
  <si>
    <t>Dujmic, Jr.</t>
  </si>
  <si>
    <t xml:space="preserve">                    Sweeney</t>
  </si>
  <si>
    <t>Cureton</t>
  </si>
  <si>
    <t>Sweeney</t>
  </si>
  <si>
    <t>Robert K. Sweeney</t>
  </si>
  <si>
    <t>Brooks</t>
  </si>
  <si>
    <t>Stiek</t>
  </si>
  <si>
    <t>Brady</t>
  </si>
  <si>
    <t>McCabe</t>
  </si>
  <si>
    <t xml:space="preserve">                   Weisenberg</t>
  </si>
  <si>
    <t>Sussman</t>
  </si>
  <si>
    <t>Weisenberg</t>
  </si>
  <si>
    <t>Sussman (TRP)</t>
  </si>
  <si>
    <t>Harvey Weisenberg</t>
  </si>
  <si>
    <t>Friedman</t>
  </si>
  <si>
    <t>Fuchs</t>
  </si>
  <si>
    <t>Iannece</t>
  </si>
  <si>
    <t>Garifal, Jr.</t>
  </si>
  <si>
    <t>Vanel (MJP)</t>
  </si>
  <si>
    <t>Aubry</t>
  </si>
  <si>
    <t>Haich</t>
  </si>
  <si>
    <t>Ron Kim</t>
  </si>
  <si>
    <t>Hayon</t>
  </si>
  <si>
    <t xml:space="preserve">                             Jacobs</t>
  </si>
  <si>
    <t>Jacobs</t>
  </si>
  <si>
    <t>Rhoda S. Jacobs</t>
  </si>
  <si>
    <t>Balberg</t>
  </si>
  <si>
    <t>Fox</t>
  </si>
  <si>
    <t>McCarthy</t>
  </si>
  <si>
    <t>Rippa</t>
  </si>
  <si>
    <t>Tischler (SCP)</t>
  </si>
  <si>
    <t>Hikind (TCN)</t>
  </si>
  <si>
    <t>Katinas</t>
  </si>
  <si>
    <t>Best</t>
  </si>
  <si>
    <t>Millman</t>
  </si>
  <si>
    <t>Nijhawan</t>
  </si>
  <si>
    <t>Joan L. Millman</t>
  </si>
  <si>
    <t xml:space="preserve">                              Lopez</t>
  </si>
  <si>
    <t>Garcia</t>
  </si>
  <si>
    <t>Vito J. Lopez</t>
  </si>
  <si>
    <t xml:space="preserve">             </t>
  </si>
  <si>
    <t>Otano</t>
  </si>
  <si>
    <t>Espinal, Jr.</t>
  </si>
  <si>
    <t>Rafael L. Espinal, Jr.</t>
  </si>
  <si>
    <t xml:space="preserve">                          Boyland, Jr.</t>
  </si>
  <si>
    <t>Anderson</t>
  </si>
  <si>
    <t>Malik</t>
  </si>
  <si>
    <t>William F. Boyland, Jr.</t>
  </si>
  <si>
    <t>Sims-Hall</t>
  </si>
  <si>
    <t>Voyticky</t>
  </si>
  <si>
    <t>Maisel</t>
  </si>
  <si>
    <t>Maresca</t>
  </si>
  <si>
    <t>Alan N. Maisel</t>
  </si>
  <si>
    <t>Waluyn</t>
  </si>
  <si>
    <t>Inez D. Barron</t>
  </si>
  <si>
    <t>Saryian</t>
  </si>
  <si>
    <t>Mascolo</t>
  </si>
  <si>
    <t>Joseph Borelli</t>
  </si>
  <si>
    <t>Pirozzolo</t>
  </si>
  <si>
    <t>Mancuso</t>
  </si>
  <si>
    <t>Chan</t>
  </si>
  <si>
    <t>Rosa</t>
  </si>
  <si>
    <t>Gabriella Rosa</t>
  </si>
  <si>
    <t>Kellner</t>
  </si>
  <si>
    <t>Zumbluskas</t>
  </si>
  <si>
    <t>Micah Z. Kellner</t>
  </si>
  <si>
    <t>Gibson</t>
  </si>
  <si>
    <t>Morrison</t>
  </si>
  <si>
    <t>Vanessa L. Gibson</t>
  </si>
  <si>
    <t>Retcho</t>
  </si>
  <si>
    <t>Stevenson</t>
  </si>
  <si>
    <t>Padilla, Jr.</t>
  </si>
  <si>
    <t>Eric Stevenson</t>
  </si>
  <si>
    <t>McManus</t>
  </si>
  <si>
    <t>Kunz</t>
  </si>
  <si>
    <t>Glover</t>
  </si>
  <si>
    <t>Ramirez</t>
  </si>
  <si>
    <t>Castro</t>
  </si>
  <si>
    <t>Sanchez</t>
  </si>
  <si>
    <t>Diamond</t>
  </si>
  <si>
    <t>Nelson L. Castro</t>
  </si>
  <si>
    <t>Marte, Sr.</t>
  </si>
  <si>
    <t>Victor Pichardo</t>
  </si>
  <si>
    <t>Jarosz</t>
  </si>
  <si>
    <t>Gary J. Pretlow</t>
  </si>
  <si>
    <t>Villanova</t>
  </si>
  <si>
    <t>Castelli</t>
  </si>
  <si>
    <t>Stephen Katz</t>
  </si>
  <si>
    <t>Izzarelli</t>
  </si>
  <si>
    <t>Gravagna</t>
  </si>
  <si>
    <t>McQuade, Jr.</t>
  </si>
  <si>
    <t>Rabbitt</t>
  </si>
  <si>
    <t>Ann G. Rabbitt</t>
  </si>
  <si>
    <t>Roddey</t>
  </si>
  <si>
    <t>Linton</t>
  </si>
  <si>
    <t>Carter</t>
  </si>
  <si>
    <t>Bello</t>
  </si>
  <si>
    <t>Frank K. Skartados</t>
  </si>
  <si>
    <t>Kieran Michael Lalor</t>
  </si>
  <si>
    <t>Danz, Jr.</t>
  </si>
  <si>
    <t>Whalen</t>
  </si>
  <si>
    <t>Quackenbush</t>
  </si>
  <si>
    <t>Draves</t>
  </si>
  <si>
    <t>Jordan</t>
  </si>
  <si>
    <t>Tony Jordan</t>
  </si>
  <si>
    <t>Tarantino</t>
  </si>
  <si>
    <t>Carpenter</t>
  </si>
  <si>
    <t>Chilelli</t>
  </si>
  <si>
    <t>Marc C. Butler</t>
  </si>
  <si>
    <t>Spires</t>
  </si>
  <si>
    <t>Lewis</t>
  </si>
  <si>
    <t>Phillip A. Palmesano</t>
  </si>
  <si>
    <t>Weaver</t>
  </si>
  <si>
    <t>Reilich</t>
  </si>
  <si>
    <t>Bill Reilich</t>
  </si>
  <si>
    <t>Koon</t>
  </si>
  <si>
    <t>Gilbert</t>
  </si>
  <si>
    <t>Peoples</t>
  </si>
  <si>
    <t>Donovan, Sr.</t>
  </si>
  <si>
    <t>Crystal D. Peoples</t>
  </si>
  <si>
    <t>Gabryszak</t>
  </si>
  <si>
    <t>DeCarlo</t>
  </si>
  <si>
    <t>Dennis H. Gabryszak</t>
  </si>
  <si>
    <t>Restaino</t>
  </si>
  <si>
    <t>Schultz</t>
  </si>
  <si>
    <t>Abt</t>
  </si>
  <si>
    <t>Brown</t>
  </si>
  <si>
    <t>Mascia</t>
  </si>
  <si>
    <t>Mueller</t>
  </si>
  <si>
    <t xml:space="preserve">    MJP — More Jobs Party</t>
  </si>
  <si>
    <t xml:space="preserve">    MSP — Main Street Party</t>
  </si>
  <si>
    <t xml:space="preserve">    SCP — School Choice Party</t>
  </si>
  <si>
    <t xml:space="preserve">    TCN — Tax Cuts Now Party</t>
  </si>
  <si>
    <t>2  Special election held on November 5, 2013.</t>
  </si>
  <si>
    <t>SOURCE: New York State Board of Elections; www.elections.ny.gov.</t>
  </si>
  <si>
    <r>
      <t>Second</t>
    </r>
    <r>
      <rPr>
        <vertAlign val="superscript"/>
        <sz val="11"/>
        <rFont val="Arial"/>
        <family val="2"/>
      </rPr>
      <t>2</t>
    </r>
  </si>
  <si>
    <r>
      <t>Fifty-Third</t>
    </r>
    <r>
      <rPr>
        <vertAlign val="superscript"/>
        <sz val="11"/>
        <rFont val="Arial"/>
        <family val="2"/>
      </rPr>
      <t>2</t>
    </r>
  </si>
  <si>
    <r>
      <t>Eighty-Sixth</t>
    </r>
    <r>
      <rPr>
        <vertAlign val="superscript"/>
        <sz val="11"/>
        <rFont val="Arial"/>
        <family val="2"/>
      </rPr>
      <t>2</t>
    </r>
  </si>
  <si>
    <t>Willebrand</t>
  </si>
  <si>
    <t>Edstrom</t>
  </si>
  <si>
    <t>Archer</t>
  </si>
  <si>
    <t>Nestler</t>
  </si>
  <si>
    <t>Campbell</t>
  </si>
  <si>
    <t>Langdon</t>
  </si>
  <si>
    <t>Alessi</t>
  </si>
  <si>
    <t>Losquadro (STR)</t>
  </si>
  <si>
    <t>Blumenthal</t>
  </si>
  <si>
    <t xml:space="preserve">                  Thiele, Jr.</t>
  </si>
  <si>
    <t>Calarco</t>
  </si>
  <si>
    <t>Murray (STR)</t>
  </si>
  <si>
    <t>Mangan</t>
  </si>
  <si>
    <t>Fields</t>
  </si>
  <si>
    <t>Elsayed</t>
  </si>
  <si>
    <t>Sweet</t>
  </si>
  <si>
    <t>Boyle</t>
  </si>
  <si>
    <t>Phillip M. Boyle</t>
  </si>
  <si>
    <t>Dempsey</t>
  </si>
  <si>
    <t>Capobianco</t>
  </si>
  <si>
    <t xml:space="preserve">                        Conte</t>
  </si>
  <si>
    <t>Conte</t>
  </si>
  <si>
    <t>James D. Conte</t>
  </si>
  <si>
    <t>Gorman</t>
  </si>
  <si>
    <t>Germino, Jr.</t>
  </si>
  <si>
    <t>Thomas</t>
  </si>
  <si>
    <t>Michelle E. Schimel</t>
  </si>
  <si>
    <t>Devaney</t>
  </si>
  <si>
    <t>Partee</t>
  </si>
  <si>
    <t>Wanderer</t>
  </si>
  <si>
    <t>Nicolosi</t>
  </si>
  <si>
    <t>Pierre Johnson</t>
  </si>
  <si>
    <t>Meng</t>
  </si>
  <si>
    <t>Grace Meng</t>
  </si>
  <si>
    <t xml:space="preserve">                            Pheffer</t>
  </si>
  <si>
    <t>Paez</t>
  </si>
  <si>
    <t>Pheffer</t>
  </si>
  <si>
    <t>Audrey I. Pheffer</t>
  </si>
  <si>
    <t>Furey</t>
  </si>
  <si>
    <t>Friedrich</t>
  </si>
  <si>
    <t>Lancman</t>
  </si>
  <si>
    <t>Rory I. Lancman</t>
  </si>
  <si>
    <t>Tabone</t>
  </si>
  <si>
    <t xml:space="preserve">                     Mayersohn</t>
  </si>
  <si>
    <t>Mayersohn</t>
  </si>
  <si>
    <t>Nettie Mayersohn</t>
  </si>
  <si>
    <t>Powietrzynski</t>
  </si>
  <si>
    <t>Tiraco</t>
  </si>
  <si>
    <t>Caltabiano</t>
  </si>
  <si>
    <t>Bellone</t>
  </si>
  <si>
    <t>Kesler</t>
  </si>
  <si>
    <t>Caccamo</t>
  </si>
  <si>
    <t>Hayon (SCP)</t>
  </si>
  <si>
    <t>Amalfitano</t>
  </si>
  <si>
    <t>Carbo</t>
  </si>
  <si>
    <t>Doherty</t>
  </si>
  <si>
    <t>Cipriano</t>
  </si>
  <si>
    <t>Haro</t>
  </si>
  <si>
    <t>Ortiz</t>
  </si>
  <si>
    <t>Jasilli, Jr.</t>
  </si>
  <si>
    <t>Orozco</t>
  </si>
  <si>
    <t xml:space="preserve">                              Towns</t>
  </si>
  <si>
    <t>Towns</t>
  </si>
  <si>
    <t>Darryl C. Towns</t>
  </si>
  <si>
    <t>Marshall</t>
  </si>
  <si>
    <t>Jeffries</t>
  </si>
  <si>
    <t>Hakeem S. Jeffries</t>
  </si>
  <si>
    <t>Alan M. Maisel</t>
  </si>
  <si>
    <t>Hyer-Spencer</t>
  </si>
  <si>
    <t>Malliotakis (TXP)</t>
  </si>
  <si>
    <t>Canning (RTL)</t>
  </si>
  <si>
    <t>Narby (LBT)</t>
  </si>
  <si>
    <t>Albanese</t>
  </si>
  <si>
    <t>Tobacco</t>
  </si>
  <si>
    <t>Lou Tobacco</t>
  </si>
  <si>
    <t>Zumbluskus</t>
  </si>
  <si>
    <t>Buran</t>
  </si>
  <si>
    <t>Ruiz</t>
  </si>
  <si>
    <t>Berkley (PFC)</t>
  </si>
  <si>
    <t>Davis</t>
  </si>
  <si>
    <t>Allen</t>
  </si>
  <si>
    <t>Russo</t>
  </si>
  <si>
    <t>Bing</t>
  </si>
  <si>
    <t>Niehaus</t>
  </si>
  <si>
    <t>Lundahl</t>
  </si>
  <si>
    <t>Jonathan L. Bing</t>
  </si>
  <si>
    <t>Winokur</t>
  </si>
  <si>
    <t xml:space="preserve">                             Rivera</t>
  </si>
  <si>
    <t>Peter M. Rivera</t>
  </si>
  <si>
    <t>Marrero</t>
  </si>
  <si>
    <t>Benbow</t>
  </si>
  <si>
    <t>Bonet, Jr.</t>
  </si>
  <si>
    <t>DeLuna</t>
  </si>
  <si>
    <t>Naomi Rivera</t>
  </si>
  <si>
    <t>Rendino</t>
  </si>
  <si>
    <t>Paul</t>
  </si>
  <si>
    <t>Santiago, Jr.</t>
  </si>
  <si>
    <t>Rivers</t>
  </si>
  <si>
    <t>Atayan</t>
  </si>
  <si>
    <t>Roach, Jr.</t>
  </si>
  <si>
    <t>Castelli (TXP)</t>
  </si>
  <si>
    <t>Robert J. Castelli</t>
  </si>
  <si>
    <t>Gouldman</t>
  </si>
  <si>
    <t>Latimer</t>
  </si>
  <si>
    <t>George S. Latimer</t>
  </si>
  <si>
    <t>Bock</t>
  </si>
  <si>
    <t>Spano</t>
  </si>
  <si>
    <t>Ramondelli</t>
  </si>
  <si>
    <t>Ramondelli (CMT)</t>
  </si>
  <si>
    <t>Mike Spano</t>
  </si>
  <si>
    <t>Sparaco</t>
  </si>
  <si>
    <t>Morr</t>
  </si>
  <si>
    <t>Donnery</t>
  </si>
  <si>
    <t>Donnery (HEP)</t>
  </si>
  <si>
    <t>Nancy Calhoun</t>
  </si>
  <si>
    <t>Kemnitz</t>
  </si>
  <si>
    <t>Tully</t>
  </si>
  <si>
    <t>Borkowski</t>
  </si>
  <si>
    <t>Steve Katz</t>
  </si>
  <si>
    <t>Kirwan</t>
  </si>
  <si>
    <t>Thomas J. Kirwan</t>
  </si>
  <si>
    <t>Rooney</t>
  </si>
  <si>
    <t>Kogon</t>
  </si>
  <si>
    <t>Joel M. Miller</t>
  </si>
  <si>
    <t>Tooker</t>
  </si>
  <si>
    <t>Molinaro</t>
  </si>
  <si>
    <t>Marcus J. Molinaro</t>
  </si>
  <si>
    <t xml:space="preserve">                        McEneny</t>
  </si>
  <si>
    <t>Busch</t>
  </si>
  <si>
    <t>McEneny</t>
  </si>
  <si>
    <t>Busch (TXP)</t>
  </si>
  <si>
    <t>John J. McEneny</t>
  </si>
  <si>
    <t>Amedore, Jr.</t>
  </si>
  <si>
    <t>Santabarbara (CAN)</t>
  </si>
  <si>
    <t>George A. Amedore, Jr.</t>
  </si>
  <si>
    <t xml:space="preserve">                     Canestrari</t>
  </si>
  <si>
    <t>Canestrari</t>
  </si>
  <si>
    <t>Ronald J. Canestrari</t>
  </si>
  <si>
    <t>Gordon</t>
  </si>
  <si>
    <t>Steve McLaughlin</t>
  </si>
  <si>
    <t>Reilly</t>
  </si>
  <si>
    <t>Robert P. Reilly</t>
  </si>
  <si>
    <t>Keramati</t>
  </si>
  <si>
    <t xml:space="preserve">                             Magee</t>
  </si>
  <si>
    <t>Bargabos</t>
  </si>
  <si>
    <t>Skeele</t>
  </si>
  <si>
    <t>Sayward</t>
  </si>
  <si>
    <t>Teresa R. Sayward</t>
  </si>
  <si>
    <t>Kimmel</t>
  </si>
  <si>
    <t xml:space="preserve">                            Destito</t>
  </si>
  <si>
    <t>Destito</t>
  </si>
  <si>
    <t>RoAnn M. Destito</t>
  </si>
  <si>
    <t>Forsythe</t>
  </si>
  <si>
    <t>Fitch</t>
  </si>
  <si>
    <t>Guy</t>
  </si>
  <si>
    <t>Donald R. Miller</t>
  </si>
  <si>
    <t>McGrath</t>
  </si>
  <si>
    <t>Kenneth D. Blankenbush</t>
  </si>
  <si>
    <t>Reynolds</t>
  </si>
  <si>
    <t>Garrison</t>
  </si>
  <si>
    <t>Stokes (OFF)</t>
  </si>
  <si>
    <t xml:space="preserve">                                Oaks</t>
  </si>
  <si>
    <t>Nachbar</t>
  </si>
  <si>
    <t>Hanna</t>
  </si>
  <si>
    <t>Sean T. Hanna</t>
  </si>
  <si>
    <t>Kraus</t>
  </si>
  <si>
    <t>Scuderi</t>
  </si>
  <si>
    <t>Zimmerman</t>
  </si>
  <si>
    <t>Jordan (CMS)</t>
  </si>
  <si>
    <t>Hare</t>
  </si>
  <si>
    <t>Marcellus</t>
  </si>
  <si>
    <t>Accardo</t>
  </si>
  <si>
    <t>DelMonte</t>
  </si>
  <si>
    <t>Ceretto (TXP)</t>
  </si>
  <si>
    <t>Barons</t>
  </si>
  <si>
    <t>Stocker</t>
  </si>
  <si>
    <t>Mandia</t>
  </si>
  <si>
    <t>Hoyt</t>
  </si>
  <si>
    <t>Biggie</t>
  </si>
  <si>
    <t>Golombek, Jr.</t>
  </si>
  <si>
    <t>Biggie (TXP)</t>
  </si>
  <si>
    <t>Sam Hoyt</t>
  </si>
  <si>
    <t>Schroeder</t>
  </si>
  <si>
    <t>Mark J. F. Schroeder</t>
  </si>
  <si>
    <t>Rybczynski</t>
  </si>
  <si>
    <t>Smardz</t>
  </si>
  <si>
    <t>Kozub</t>
  </si>
  <si>
    <t>Smardz (TXP)</t>
  </si>
  <si>
    <t>Kevin S. Smardz</t>
  </si>
  <si>
    <t>Burling</t>
  </si>
  <si>
    <t>Daniel J. Burling</t>
  </si>
  <si>
    <t>Vinal</t>
  </si>
  <si>
    <t>James P. Hayes</t>
  </si>
  <si>
    <t>Lecceadone</t>
  </si>
  <si>
    <t>Bargar</t>
  </si>
  <si>
    <t>Goodell (CAP)</t>
  </si>
  <si>
    <t xml:space="preserve">    CAN — Change Albany Now Party</t>
  </si>
  <si>
    <t xml:space="preserve">    CAP — Change Albany Party</t>
  </si>
  <si>
    <t xml:space="preserve">    CMT — Cut My Taxes Party</t>
  </si>
  <si>
    <t xml:space="preserve">    CMS — Common Sense Party</t>
  </si>
  <si>
    <t xml:space="preserve">    HEP — Had Enough Party</t>
  </si>
  <si>
    <t xml:space="preserve">    OFF — Our Founding Fathers Party</t>
  </si>
  <si>
    <t xml:space="preserve">    PFC — People 4 Chuck Party</t>
  </si>
  <si>
    <t xml:space="preserve">    RTL — Right to Life Party</t>
  </si>
  <si>
    <t xml:space="preserve">    STR — School Tax Relief Party</t>
  </si>
  <si>
    <t xml:space="preserve">    TXP — Taxpayers Party</t>
  </si>
  <si>
    <t>Panzella</t>
  </si>
  <si>
    <t>Donnelly</t>
  </si>
  <si>
    <t>Staudenraus</t>
  </si>
  <si>
    <t>Marc S. Alessi</t>
  </si>
  <si>
    <t>Pitcher</t>
  </si>
  <si>
    <t>Eddington</t>
  </si>
  <si>
    <t>Salimando</t>
  </si>
  <si>
    <t>Patricia A. Eddington</t>
  </si>
  <si>
    <t>Bennett</t>
  </si>
  <si>
    <t>Bugler</t>
  </si>
  <si>
    <t>Ginny A. Fields</t>
  </si>
  <si>
    <t>Huggins</t>
  </si>
  <si>
    <t>Bloom</t>
  </si>
  <si>
    <t>Pillip M. Boyle</t>
  </si>
  <si>
    <t>Kerr-Ozimek</t>
  </si>
  <si>
    <t>Stark</t>
  </si>
  <si>
    <t>McDonaugh</t>
  </si>
  <si>
    <t>Scalia</t>
  </si>
  <si>
    <t>McMenamin</t>
  </si>
  <si>
    <t>Ferrara</t>
  </si>
  <si>
    <t>Barra</t>
  </si>
  <si>
    <t>Robert D. Barra</t>
  </si>
  <si>
    <t>Ovadia</t>
  </si>
  <si>
    <t>Rob Walker</t>
  </si>
  <si>
    <t>Mitchell</t>
  </si>
  <si>
    <t>Pinto</t>
  </si>
  <si>
    <t>Bryant</t>
  </si>
  <si>
    <t>Kudler</t>
  </si>
  <si>
    <t>McGinty</t>
  </si>
  <si>
    <t>Smilowitz</t>
  </si>
  <si>
    <t>Alfano</t>
  </si>
  <si>
    <t>Thomas W. Alfano</t>
  </si>
  <si>
    <t>Young</t>
  </si>
  <si>
    <t>Mark S. Weprin</t>
  </si>
  <si>
    <t xml:space="preserve">                         Carrozza</t>
  </si>
  <si>
    <t>Speranza</t>
  </si>
  <si>
    <t>Ann Margaret E. Carrozza</t>
  </si>
  <si>
    <t>New York State by Assembly District — November 4, 2008</t>
  </si>
  <si>
    <t>Schmidt</t>
  </si>
  <si>
    <t>Gianaris</t>
  </si>
  <si>
    <t>Michael N. Gianaris</t>
  </si>
  <si>
    <t xml:space="preserve">                       Seminerio</t>
  </si>
  <si>
    <t>Anthony S. Seminerio</t>
  </si>
  <si>
    <t>Peralta</t>
  </si>
  <si>
    <t>Jose R. Peralta</t>
  </si>
  <si>
    <t>Velazquez Bennett</t>
  </si>
  <si>
    <t>Capano</t>
  </si>
  <si>
    <t>Puccio</t>
  </si>
  <si>
    <t>Coen</t>
  </si>
  <si>
    <t>Monge</t>
  </si>
  <si>
    <t>Cutrone</t>
  </si>
  <si>
    <t>Snead, Sr.</t>
  </si>
  <si>
    <t>Brickous</t>
  </si>
  <si>
    <t>Hakeen S. Jeffries</t>
  </si>
  <si>
    <t>Bracken</t>
  </si>
  <si>
    <t>Cammarata</t>
  </si>
  <si>
    <t>D. Janele Hyer-Spencer</t>
  </si>
  <si>
    <t>McGinley</t>
  </si>
  <si>
    <t>Margarella</t>
  </si>
  <si>
    <t>Pascarella</t>
  </si>
  <si>
    <t>Viest</t>
  </si>
  <si>
    <t>Powell, IV</t>
  </si>
  <si>
    <t>Soriano</t>
  </si>
  <si>
    <t>Espada, Sr.</t>
  </si>
  <si>
    <t>Adam Clayton Powell, IV</t>
  </si>
  <si>
    <t>Riley, Sr.</t>
  </si>
  <si>
    <t>Britton</t>
  </si>
  <si>
    <t xml:space="preserve">                         Espaillat</t>
  </si>
  <si>
    <t>Adriano Espaillat</t>
  </si>
  <si>
    <t>Serrano</t>
  </si>
  <si>
    <t xml:space="preserve">                           Greene</t>
  </si>
  <si>
    <t>Curry</t>
  </si>
  <si>
    <t>Aurelia Greene</t>
  </si>
  <si>
    <t>Bowland</t>
  </si>
  <si>
    <t>Vannessa L. Gibson</t>
  </si>
  <si>
    <t>Lupo, II</t>
  </si>
  <si>
    <t>Benjamin</t>
  </si>
  <si>
    <t>Gonzalez</t>
  </si>
  <si>
    <t>Michael A. Benjamin</t>
  </si>
  <si>
    <t>Delucia</t>
  </si>
  <si>
    <t>Klapper</t>
  </si>
  <si>
    <t>Capone</t>
  </si>
  <si>
    <t>Blot</t>
  </si>
  <si>
    <t>Dellavalle</t>
  </si>
  <si>
    <t>Diaz, Jr.</t>
  </si>
  <si>
    <t>Moran</t>
  </si>
  <si>
    <t>Eligon</t>
  </si>
  <si>
    <t>Ruben Diaz, Jr.</t>
  </si>
  <si>
    <t>Marcos Crespo</t>
  </si>
  <si>
    <t>Pearson</t>
  </si>
  <si>
    <t>Pilla</t>
  </si>
  <si>
    <t>Bradley</t>
  </si>
  <si>
    <t>Adam T. Bradley</t>
  </si>
  <si>
    <t>Biagi</t>
  </si>
  <si>
    <t>Brodsky</t>
  </si>
  <si>
    <t>Richard L. Brodsky</t>
  </si>
  <si>
    <t>Faulkner</t>
  </si>
  <si>
    <t>Randazzo</t>
  </si>
  <si>
    <t>Sommer</t>
  </si>
  <si>
    <t>Degnan</t>
  </si>
  <si>
    <t>Ball</t>
  </si>
  <si>
    <t>Greg Ball</t>
  </si>
  <si>
    <t>One Hundreth</t>
  </si>
  <si>
    <t>Yess</t>
  </si>
  <si>
    <t>Rubin</t>
  </si>
  <si>
    <t>O'Neill</t>
  </si>
  <si>
    <t>Blanchfield</t>
  </si>
  <si>
    <t>Timothy P. Gordon</t>
  </si>
  <si>
    <t>Wasielewski</t>
  </si>
  <si>
    <t>McGaughey</t>
  </si>
  <si>
    <t xml:space="preserve">                Townsend, Jr.</t>
  </si>
  <si>
    <t>LeClair</t>
  </si>
  <si>
    <t>David R. Townsend, Jr.</t>
  </si>
  <si>
    <t>McDonald</t>
  </si>
  <si>
    <t>Cantwell, III</t>
  </si>
  <si>
    <t xml:space="preserve">                   Christensen</t>
  </si>
  <si>
    <t>Fadden Fitch</t>
  </si>
  <si>
    <t>Christensen</t>
  </si>
  <si>
    <t>Joan K. Christensen</t>
  </si>
  <si>
    <t>Rounds</t>
  </si>
  <si>
    <t>Knapp</t>
  </si>
  <si>
    <t>Scozzafava</t>
  </si>
  <si>
    <t>Dede K. Scozzafava</t>
  </si>
  <si>
    <t>Abbott King</t>
  </si>
  <si>
    <t>Burns</t>
  </si>
  <si>
    <t>Sargent</t>
  </si>
  <si>
    <t xml:space="preserve">                                 John</t>
  </si>
  <si>
    <t>Morrow</t>
  </si>
  <si>
    <t>Colon</t>
  </si>
  <si>
    <t>Susan V. John</t>
  </si>
  <si>
    <t>Garretson</t>
  </si>
  <si>
    <t>Bonacchi</t>
  </si>
  <si>
    <t>David R. Koon</t>
  </si>
  <si>
    <t>Bacalles</t>
  </si>
  <si>
    <t>James G. Bacalles</t>
  </si>
  <si>
    <t>O'Mara</t>
  </si>
  <si>
    <t>Thomas F. O'Mara</t>
  </si>
  <si>
    <t>Banks Dahlke</t>
  </si>
  <si>
    <t>Francine DelMonte</t>
  </si>
  <si>
    <t>Kaczorowski</t>
  </si>
  <si>
    <t>Ferrentino</t>
  </si>
  <si>
    <t>Marek</t>
  </si>
  <si>
    <t>Mark J. Schroeder</t>
  </si>
  <si>
    <t>Kowalski</t>
  </si>
  <si>
    <t>Quinn</t>
  </si>
  <si>
    <t>Jack Quinn</t>
  </si>
  <si>
    <t>Schad</t>
  </si>
  <si>
    <t>Eaton</t>
  </si>
  <si>
    <t>Parment</t>
  </si>
  <si>
    <t>William L. Parment</t>
  </si>
  <si>
    <t xml:space="preserve">    WOR — Working Families Party</t>
  </si>
  <si>
    <t>2  Special election held on June 2, 2009.</t>
  </si>
  <si>
    <t>SOURCE:  New York State Board of Elections; www.elections.state.ny.us.</t>
  </si>
  <si>
    <r>
      <t>Seventy-Seventh</t>
    </r>
    <r>
      <rPr>
        <vertAlign val="superscript"/>
        <sz val="11"/>
        <rFont val="Arial"/>
        <family val="2"/>
      </rPr>
      <t>2</t>
    </r>
  </si>
  <si>
    <r>
      <t>Eighty-Fifth</t>
    </r>
    <r>
      <rPr>
        <vertAlign val="superscript"/>
        <sz val="11"/>
        <rFont val="Arial"/>
        <family val="2"/>
      </rPr>
      <t>2</t>
    </r>
  </si>
  <si>
    <t>Mastrangelo</t>
  </si>
  <si>
    <t>Conyers</t>
  </si>
  <si>
    <t>Weinsenberg</t>
  </si>
  <si>
    <t>Carrozza</t>
  </si>
  <si>
    <t>Cook</t>
  </si>
  <si>
    <t>Abbate, Jr.</t>
  </si>
  <si>
    <t>Boyland, Jr.</t>
  </si>
  <si>
    <t>Greene</t>
  </si>
  <si>
    <t>Darko Boaten</t>
  </si>
  <si>
    <t>Quaglietta</t>
  </si>
  <si>
    <t>Townsend, Jr.</t>
  </si>
  <si>
    <t>John</t>
  </si>
  <si>
    <t>Tennant</t>
  </si>
  <si>
    <t>Bono, III</t>
  </si>
  <si>
    <t>Bieger</t>
  </si>
  <si>
    <t xml:space="preserve">                        Other</t>
  </si>
  <si>
    <t>Panico</t>
  </si>
  <si>
    <t>Panico (STR)</t>
  </si>
  <si>
    <t>West</t>
  </si>
  <si>
    <t>Faulk, Jr.</t>
  </si>
  <si>
    <t>Kelly-McGovern</t>
  </si>
  <si>
    <t>Cohen</t>
  </si>
  <si>
    <t>McCreight</t>
  </si>
  <si>
    <t>LoMoriello</t>
  </si>
  <si>
    <t>Nohs</t>
  </si>
  <si>
    <t>Heller</t>
  </si>
  <si>
    <t>Pangburn</t>
  </si>
  <si>
    <t xml:space="preserve">                         DiNapoli</t>
  </si>
  <si>
    <t>Chisari</t>
  </si>
  <si>
    <t>DiNapoli</t>
  </si>
  <si>
    <t>Thomas P. DiNapoli</t>
  </si>
  <si>
    <t>DeCicco</t>
  </si>
  <si>
    <t>Sedacca</t>
  </si>
  <si>
    <t>Birnbaum</t>
  </si>
  <si>
    <t>McQuade</t>
  </si>
  <si>
    <t>Cooper, Sr.</t>
  </si>
  <si>
    <t>Migliaccio</t>
  </si>
  <si>
    <t>Ellen Young</t>
  </si>
  <si>
    <t>Mirsky</t>
  </si>
  <si>
    <t>Mark Weprin</t>
  </si>
  <si>
    <t>Alam</t>
  </si>
  <si>
    <t>New York State by Assembly District — November 7, 2006</t>
  </si>
  <si>
    <t>Lamp</t>
  </si>
  <si>
    <t>Maddis</t>
  </si>
  <si>
    <t>Duvalle</t>
  </si>
  <si>
    <t>Michael R. Titus</t>
  </si>
  <si>
    <t xml:space="preserve">                         Lafayette</t>
  </si>
  <si>
    <t>Ivan C. Lafayette</t>
  </si>
  <si>
    <t>Jelks</t>
  </si>
  <si>
    <t>Diane Gordon</t>
  </si>
  <si>
    <t>Benton</t>
  </si>
  <si>
    <t>Testaverde</t>
  </si>
  <si>
    <t>Karim Camera</t>
  </si>
  <si>
    <t>Valezquez Bennett</t>
  </si>
  <si>
    <t>Laudano</t>
  </si>
  <si>
    <t>Trainer</t>
  </si>
  <si>
    <t>Artus</t>
  </si>
  <si>
    <t>Markgraf</t>
  </si>
  <si>
    <t>Feliciano</t>
  </si>
  <si>
    <t>Laney</t>
  </si>
  <si>
    <t>Hakeen Jeffries</t>
  </si>
  <si>
    <t>Gaffney</t>
  </si>
  <si>
    <t>Xanthakis</t>
  </si>
  <si>
    <t>LaVelle</t>
  </si>
  <si>
    <t>John W. LaVelle</t>
  </si>
  <si>
    <t>Alexander</t>
  </si>
  <si>
    <t>Matthew Titone</t>
  </si>
  <si>
    <t>Ignizio</t>
  </si>
  <si>
    <t>Vincent Ignizio</t>
  </si>
  <si>
    <t>Mulia</t>
  </si>
  <si>
    <t>Tobacco (AR)</t>
  </si>
  <si>
    <t>Louis Tobacco</t>
  </si>
  <si>
    <t>Grossman</t>
  </si>
  <si>
    <t>Imperiale</t>
  </si>
  <si>
    <t xml:space="preserve">                           Grannis</t>
  </si>
  <si>
    <t>Fandal</t>
  </si>
  <si>
    <t>Alexander B. Pete Grannis</t>
  </si>
  <si>
    <t>Camp</t>
  </si>
  <si>
    <t>Howard</t>
  </si>
  <si>
    <t>Powell</t>
  </si>
  <si>
    <t>Velasco</t>
  </si>
  <si>
    <t>Adam Clayton Powell</t>
  </si>
  <si>
    <t>Chicon</t>
  </si>
  <si>
    <t>Castellanos (RVC)</t>
  </si>
  <si>
    <t>Heim</t>
  </si>
  <si>
    <t>Benjamin Larkins</t>
  </si>
  <si>
    <t>Grady</t>
  </si>
  <si>
    <t>Olivio</t>
  </si>
  <si>
    <t>Thompson</t>
  </si>
  <si>
    <t>Bradian</t>
  </si>
  <si>
    <t>Bowman</t>
  </si>
  <si>
    <t>Rosado</t>
  </si>
  <si>
    <t>Almodovar</t>
  </si>
  <si>
    <t>McDonagh</t>
  </si>
  <si>
    <t>Diaz</t>
  </si>
  <si>
    <t>Ninah</t>
  </si>
  <si>
    <t>Luis M. Diaz</t>
  </si>
  <si>
    <t>Snyder</t>
  </si>
  <si>
    <t>Coleman</t>
  </si>
  <si>
    <t>Gershonowitz</t>
  </si>
  <si>
    <t>Kenneth Zebrowski</t>
  </si>
  <si>
    <t>Paduch</t>
  </si>
  <si>
    <t>Harper</t>
  </si>
  <si>
    <t>Stephens, Jr.</t>
  </si>
  <si>
    <t>Tyner</t>
  </si>
  <si>
    <t>Westover</t>
  </si>
  <si>
    <t>Martin</t>
  </si>
  <si>
    <t>Marcus Molinaro</t>
  </si>
  <si>
    <t xml:space="preserve">                              Tonko</t>
  </si>
  <si>
    <t>Mertz</t>
  </si>
  <si>
    <t>Tonko</t>
  </si>
  <si>
    <t>Paul D. Tonko</t>
  </si>
  <si>
    <t>Kosiur</t>
  </si>
  <si>
    <t>Terry</t>
  </si>
  <si>
    <t>Keck</t>
  </si>
  <si>
    <t>Barlette</t>
  </si>
  <si>
    <t>Eidens</t>
  </si>
  <si>
    <t>Roy J. McDonald</t>
  </si>
  <si>
    <t>Brockway</t>
  </si>
  <si>
    <t>Nichols (UNT)</t>
  </si>
  <si>
    <t>Ro Ann M. Destito</t>
  </si>
  <si>
    <t>Aubertine</t>
  </si>
  <si>
    <t>Darrel J. Aubertine</t>
  </si>
  <si>
    <t>Zenner</t>
  </si>
  <si>
    <t>Meyer, Jr.</t>
  </si>
  <si>
    <t>Scozzafava (NCR)</t>
  </si>
  <si>
    <t>Putnam</t>
  </si>
  <si>
    <t>Rohan</t>
  </si>
  <si>
    <t>Rohan (TPR)</t>
  </si>
  <si>
    <t>Dinga</t>
  </si>
  <si>
    <t>Trees</t>
  </si>
  <si>
    <t>Ferlicca</t>
  </si>
  <si>
    <t>Trapani</t>
  </si>
  <si>
    <t>Coker</t>
  </si>
  <si>
    <t>Fedele</t>
  </si>
  <si>
    <t>Tom O'Mara</t>
  </si>
  <si>
    <t>Bazzani</t>
  </si>
  <si>
    <t>Parenti</t>
  </si>
  <si>
    <t>Kent</t>
  </si>
  <si>
    <t>One Hundred Fourtieth</t>
  </si>
  <si>
    <t>Schwandt</t>
  </si>
  <si>
    <t>Monte</t>
  </si>
  <si>
    <t>Cole</t>
  </si>
  <si>
    <t>Michael W. Cole</t>
  </si>
  <si>
    <t>Sell</t>
  </si>
  <si>
    <t>Zajac</t>
  </si>
  <si>
    <t>Tresmond</t>
  </si>
  <si>
    <t>Grelick</t>
  </si>
  <si>
    <t>Witte</t>
  </si>
  <si>
    <t>—  Represents zero.</t>
  </si>
  <si>
    <t xml:space="preserve">    AR — Albany Reform</t>
  </si>
  <si>
    <t xml:space="preserve">    NCR — North Country Reform</t>
  </si>
  <si>
    <t xml:space="preserve">    RVC — Rising Voices Coalition</t>
  </si>
  <si>
    <t xml:space="preserve">    STR — School Tax Relief</t>
  </si>
  <si>
    <t xml:space="preserve">    TPR — Taxpayer's Relief</t>
  </si>
  <si>
    <t xml:space="preserve">    UNT — Unity</t>
  </si>
  <si>
    <t>2  Special election held on March 27, 2007.</t>
  </si>
  <si>
    <t>3  Special election held on June 5, 2007.</t>
  </si>
  <si>
    <t>4  Special election held on May 1, 2007.</t>
  </si>
  <si>
    <t>5  Special election held on July 31, 2007.</t>
  </si>
  <si>
    <t>SOURCE:  New York State Board of Elections.</t>
  </si>
  <si>
    <r>
      <t>Sixteenth</t>
    </r>
    <r>
      <rPr>
        <vertAlign val="superscript"/>
        <sz val="11"/>
        <rFont val="Arial"/>
        <family val="2"/>
      </rPr>
      <t>2</t>
    </r>
  </si>
  <si>
    <r>
      <t>Sixty-First</t>
    </r>
    <r>
      <rPr>
        <vertAlign val="superscript"/>
        <sz val="11"/>
        <rFont val="Arial"/>
        <family val="2"/>
      </rPr>
      <t>2</t>
    </r>
  </si>
  <si>
    <r>
      <t>Sixty-Second</t>
    </r>
    <r>
      <rPr>
        <vertAlign val="superscript"/>
        <sz val="11"/>
        <rFont val="Arial"/>
        <family val="2"/>
      </rPr>
      <t>2</t>
    </r>
  </si>
  <si>
    <r>
      <t>Sixty-Fifth</t>
    </r>
    <r>
      <rPr>
        <vertAlign val="superscript"/>
        <sz val="11"/>
        <rFont val="Arial"/>
        <family val="2"/>
      </rPr>
      <t>3</t>
    </r>
  </si>
  <si>
    <r>
      <t>Ninety-Fourth</t>
    </r>
    <r>
      <rPr>
        <vertAlign val="superscript"/>
        <sz val="11"/>
        <rFont val="Arial"/>
        <family val="2"/>
      </rPr>
      <t>4</t>
    </r>
  </si>
  <si>
    <r>
      <t>One Hundred Fifth</t>
    </r>
    <r>
      <rPr>
        <vertAlign val="superscript"/>
        <sz val="11"/>
        <rFont val="Arial"/>
        <family val="2"/>
      </rPr>
      <t>5</t>
    </r>
  </si>
  <si>
    <t>Funk</t>
  </si>
  <si>
    <t>Lafayette</t>
  </si>
  <si>
    <t>Grannis</t>
  </si>
  <si>
    <t>Consuello</t>
  </si>
  <si>
    <t>Hammond</t>
  </si>
  <si>
    <t xml:space="preserve">            Conservative</t>
  </si>
  <si>
    <t xml:space="preserve">                 Acampora</t>
  </si>
  <si>
    <t>Patricia L. Acampora</t>
  </si>
  <si>
    <t>Caracciolo</t>
  </si>
  <si>
    <t>Marc Alessi</t>
  </si>
  <si>
    <t>Guarino</t>
  </si>
  <si>
    <t>Busacca</t>
  </si>
  <si>
    <t>Middleton</t>
  </si>
  <si>
    <t>Barraga</t>
  </si>
  <si>
    <t>Thomas F. Barraga</t>
  </si>
  <si>
    <t>Mattace</t>
  </si>
  <si>
    <t>Philip M. Boyle</t>
  </si>
  <si>
    <t>Boyle (STR)</t>
  </si>
  <si>
    <t>Needham</t>
  </si>
  <si>
    <t>Needham (EDU)</t>
  </si>
  <si>
    <t>Sciarillo, Sr.</t>
  </si>
  <si>
    <t>Sidikman</t>
  </si>
  <si>
    <t>Taubman</t>
  </si>
  <si>
    <t xml:space="preserve">                      Ferrara</t>
  </si>
  <si>
    <t>Donna T. Ferrara</t>
  </si>
  <si>
    <t>Arreco</t>
  </si>
  <si>
    <t>McGillicuddy</t>
  </si>
  <si>
    <t xml:space="preserve">                DiNapoli</t>
  </si>
  <si>
    <t>O'Connell</t>
  </si>
  <si>
    <t>Maureen C. O'Connell</t>
  </si>
  <si>
    <t>Syed</t>
  </si>
  <si>
    <t>Breakstone</t>
  </si>
  <si>
    <t>Spitz</t>
  </si>
  <si>
    <t xml:space="preserve">             Weisenberg</t>
  </si>
  <si>
    <t>Bassias</t>
  </si>
  <si>
    <t>Tan</t>
  </si>
  <si>
    <t>Jimmy K. Meng</t>
  </si>
  <si>
    <t>Chou (GNW)</t>
  </si>
  <si>
    <t xml:space="preserve">                    McLaughlin</t>
  </si>
  <si>
    <t>Brian M. McLaughlin</t>
  </si>
  <si>
    <t>Boudouvas</t>
  </si>
  <si>
    <t>Weiss</t>
  </si>
  <si>
    <t>Michael L. Cohen</t>
  </si>
  <si>
    <t>Como</t>
  </si>
  <si>
    <t>Ahmed</t>
  </si>
  <si>
    <t>Qureshi</t>
  </si>
  <si>
    <t>Madden</t>
  </si>
  <si>
    <t xml:space="preserve">                    Norman, Jr.</t>
  </si>
  <si>
    <t>Clarence Norman, Jr.</t>
  </si>
  <si>
    <t>Cleary</t>
  </si>
  <si>
    <t>Littlefield</t>
  </si>
  <si>
    <t>Gershfeld</t>
  </si>
  <si>
    <t>Gouldin</t>
  </si>
  <si>
    <t>Kaplan</t>
  </si>
  <si>
    <t>Adele H. Cohen</t>
  </si>
  <si>
    <t>Bell</t>
  </si>
  <si>
    <t xml:space="preserve">                     Abbate</t>
  </si>
  <si>
    <t>Martorell</t>
  </si>
  <si>
    <t>Matorell</t>
  </si>
  <si>
    <t>Peter J. Abbate</t>
  </si>
  <si>
    <t>Romaguera</t>
  </si>
  <si>
    <t>Santandrea</t>
  </si>
  <si>
    <t>Coffey</t>
  </si>
  <si>
    <t>Prevete</t>
  </si>
  <si>
    <t>Miranda</t>
  </si>
  <si>
    <t>Radden</t>
  </si>
  <si>
    <t xml:space="preserve">                              Green</t>
  </si>
  <si>
    <t>Ocasio</t>
  </si>
  <si>
    <t>Roger L. Green</t>
  </si>
  <si>
    <t>Robertson</t>
  </si>
  <si>
    <t>Seddio</t>
  </si>
  <si>
    <t>Mahoney</t>
  </si>
  <si>
    <t>Frank R. Seddio</t>
  </si>
  <si>
    <t>Haugstatter</t>
  </si>
  <si>
    <t>Mirones</t>
  </si>
  <si>
    <t>Matthew Mirones</t>
  </si>
  <si>
    <t>McLean</t>
  </si>
  <si>
    <t>Innamorato</t>
  </si>
  <si>
    <t>Bruno, Jr.</t>
  </si>
  <si>
    <t>Straniere</t>
  </si>
  <si>
    <t>Sackett</t>
  </si>
  <si>
    <t>Leslie</t>
  </si>
  <si>
    <t xml:space="preserve">                           Stringer</t>
  </si>
  <si>
    <t>Shun</t>
  </si>
  <si>
    <t>Scott M. Stringer</t>
  </si>
  <si>
    <t>Lanzillotti</t>
  </si>
  <si>
    <t>Daniels</t>
  </si>
  <si>
    <t>Henry</t>
  </si>
  <si>
    <t>Cox</t>
  </si>
  <si>
    <t>Winston</t>
  </si>
  <si>
    <t>Sanders</t>
  </si>
  <si>
    <t>Berkowitz</t>
  </si>
  <si>
    <t>Steven Sanders</t>
  </si>
  <si>
    <t>Berkowitz (SCP)</t>
  </si>
  <si>
    <t>Sylvia M. Friedman</t>
  </si>
  <si>
    <t>Fiddler</t>
  </si>
  <si>
    <t>Damalijaj</t>
  </si>
  <si>
    <t>Chiofalo</t>
  </si>
  <si>
    <t>Alamo</t>
  </si>
  <si>
    <t>Newmark</t>
  </si>
  <si>
    <t>Justice</t>
  </si>
  <si>
    <t>Dooling</t>
  </si>
  <si>
    <t xml:space="preserve">                               Galef</t>
  </si>
  <si>
    <t>Malfetano</t>
  </si>
  <si>
    <t>Pioski</t>
  </si>
  <si>
    <t>Mosiello</t>
  </si>
  <si>
    <t>Louis A. Mosiello</t>
  </si>
  <si>
    <t>Karben</t>
  </si>
  <si>
    <t>Bunge</t>
  </si>
  <si>
    <t>Ryan S. Karben</t>
  </si>
  <si>
    <t>Stolback (PRT)</t>
  </si>
  <si>
    <t>Tracey</t>
  </si>
  <si>
    <t>Kraham</t>
  </si>
  <si>
    <t>Willis H. Stephens, Jr.</t>
  </si>
  <si>
    <t>App</t>
  </si>
  <si>
    <t>D'Souza</t>
  </si>
  <si>
    <t>Manning</t>
  </si>
  <si>
    <t>Patrick R. Manning</t>
  </si>
  <si>
    <t>Sorce</t>
  </si>
  <si>
    <t>Spadaro</t>
  </si>
  <si>
    <t xml:space="preserve">                             Casale</t>
  </si>
  <si>
    <t>Pat M. Casale</t>
  </si>
  <si>
    <t>Prentiss</t>
  </si>
  <si>
    <t>Prentiss (TRR)</t>
  </si>
  <si>
    <t>Ratcliffe</t>
  </si>
  <si>
    <t>Bassett</t>
  </si>
  <si>
    <t>Ortloff</t>
  </si>
  <si>
    <t>George Christian Ortloff</t>
  </si>
  <si>
    <t>Dote</t>
  </si>
  <si>
    <t>Carrig (TEP)</t>
  </si>
  <si>
    <t>Gray</t>
  </si>
  <si>
    <t>Iavarone</t>
  </si>
  <si>
    <t>Teachout</t>
  </si>
  <si>
    <t>Rossi</t>
  </si>
  <si>
    <t xml:space="preserve">                       Brown</t>
  </si>
  <si>
    <t>Jeff Brown</t>
  </si>
  <si>
    <t>Brown (VET)</t>
  </si>
  <si>
    <t>Bergan</t>
  </si>
  <si>
    <t>Warner</t>
  </si>
  <si>
    <t>Neary</t>
  </si>
  <si>
    <t>Hooker</t>
  </si>
  <si>
    <t>Daniel L. Hooker</t>
  </si>
  <si>
    <t>Pellis (ONE)</t>
  </si>
  <si>
    <t>Polimeni</t>
  </si>
  <si>
    <t>Saltzberg</t>
  </si>
  <si>
    <t>Slattery</t>
  </si>
  <si>
    <t>Shea</t>
  </si>
  <si>
    <t>Banks Dahike</t>
  </si>
  <si>
    <t>Nesbitt</t>
  </si>
  <si>
    <t>Charles H. Nesbitt</t>
  </si>
  <si>
    <t>Millemaci</t>
  </si>
  <si>
    <t>Wirth</t>
  </si>
  <si>
    <t>McDonnell</t>
  </si>
  <si>
    <t>Sandra Lee Wirth</t>
  </si>
  <si>
    <t>Tokasz</t>
  </si>
  <si>
    <t>Gutowski</t>
  </si>
  <si>
    <t>Paul A. Tokasz</t>
  </si>
  <si>
    <t>Penna</t>
  </si>
  <si>
    <t>Rydza</t>
  </si>
  <si>
    <t>Casey (SCP)</t>
  </si>
  <si>
    <t>Pordum</t>
  </si>
  <si>
    <t>Hoak</t>
  </si>
  <si>
    <t>Quinn (SPT)</t>
  </si>
  <si>
    <t>Scicchitano</t>
  </si>
  <si>
    <t>Catharine M. Young</t>
  </si>
  <si>
    <t>Vecchiarella</t>
  </si>
  <si>
    <t xml:space="preserve">    EDU — Education</t>
  </si>
  <si>
    <t xml:space="preserve">    GNW — Greens No War</t>
  </si>
  <si>
    <t xml:space="preserve">    ONE — 128 District</t>
  </si>
  <si>
    <t xml:space="preserve">    PRT — Preserve Our Towns</t>
  </si>
  <si>
    <t xml:space="preserve">    SCP — School Choice</t>
  </si>
  <si>
    <t xml:space="preserve">    SPT — Sportsman's Rights</t>
  </si>
  <si>
    <t xml:space="preserve">    TEP — The Equity</t>
  </si>
  <si>
    <t xml:space="preserve">    TRR — Tax Relief and Reform</t>
  </si>
  <si>
    <t xml:space="preserve">    VET — Veterans Party</t>
  </si>
  <si>
    <t>2  Special election held on September 13, 2005.</t>
  </si>
  <si>
    <t>3  Special election held on February 28, 2006.</t>
  </si>
  <si>
    <t>4  Special election held on May 24, 2005.</t>
  </si>
  <si>
    <t>5  Special election held on May 10, 2005.</t>
  </si>
  <si>
    <t>6  Special election held on November 8, 2005.</t>
  </si>
  <si>
    <t>7  Special election held on May 2, 2006.</t>
  </si>
  <si>
    <t>8  Special election held on June 28, 2005.</t>
  </si>
  <si>
    <r>
      <t>First</t>
    </r>
    <r>
      <rPr>
        <vertAlign val="superscript"/>
        <sz val="11"/>
        <rFont val="Arial"/>
        <family val="2"/>
      </rPr>
      <t>2</t>
    </r>
  </si>
  <si>
    <r>
      <t>Eighth</t>
    </r>
    <r>
      <rPr>
        <vertAlign val="superscript"/>
        <sz val="11"/>
        <rFont val="Arial"/>
        <family val="2"/>
      </rPr>
      <t>3</t>
    </r>
  </si>
  <si>
    <r>
      <t>Fifteenth</t>
    </r>
    <r>
      <rPr>
        <vertAlign val="superscript"/>
        <sz val="11"/>
        <rFont val="Arial"/>
        <family val="2"/>
      </rPr>
      <t>4</t>
    </r>
  </si>
  <si>
    <r>
      <t>Seventeenth</t>
    </r>
    <r>
      <rPr>
        <vertAlign val="superscript"/>
        <sz val="11"/>
        <rFont val="Arial"/>
        <family val="2"/>
      </rPr>
      <t>3</t>
    </r>
  </si>
  <si>
    <r>
      <t>Twenty-Eighth</t>
    </r>
    <r>
      <rPr>
        <vertAlign val="superscript"/>
        <sz val="11"/>
        <rFont val="Arial"/>
        <family val="2"/>
      </rPr>
      <t>5</t>
    </r>
  </si>
  <si>
    <r>
      <t>Forty-Third</t>
    </r>
    <r>
      <rPr>
        <vertAlign val="superscript"/>
        <sz val="11"/>
        <rFont val="Arial"/>
        <family val="2"/>
      </rPr>
      <t>6</t>
    </r>
  </si>
  <si>
    <r>
      <t>Fifty-Ninth</t>
    </r>
    <r>
      <rPr>
        <vertAlign val="superscript"/>
        <sz val="11"/>
        <rFont val="Arial"/>
        <family val="2"/>
      </rPr>
      <t>3</t>
    </r>
  </si>
  <si>
    <r>
      <t>Seventy-Fourth</t>
    </r>
    <r>
      <rPr>
        <vertAlign val="superscript"/>
        <sz val="11"/>
        <rFont val="Arial"/>
        <family val="2"/>
      </rPr>
      <t>3</t>
    </r>
  </si>
  <si>
    <r>
      <t>One Hundred Thirty-Ninth</t>
    </r>
    <r>
      <rPr>
        <vertAlign val="superscript"/>
        <sz val="11"/>
        <rFont val="Arial"/>
        <family val="2"/>
      </rPr>
      <t>2</t>
    </r>
  </si>
  <si>
    <r>
      <t>One Hundred Forty-Second</t>
    </r>
    <r>
      <rPr>
        <vertAlign val="superscript"/>
        <sz val="11"/>
        <rFont val="Arial"/>
        <family val="2"/>
      </rPr>
      <t>7</t>
    </r>
  </si>
  <si>
    <r>
      <t>One Hundred Forty-Ninth</t>
    </r>
    <r>
      <rPr>
        <vertAlign val="superscript"/>
        <sz val="11"/>
        <rFont val="Arial"/>
        <family val="2"/>
      </rPr>
      <t>8</t>
    </r>
  </si>
  <si>
    <t>New York State by Assembly District — November 2, 2004</t>
  </si>
  <si>
    <t>Grodenchik</t>
  </si>
  <si>
    <t>Norman, Jr.</t>
  </si>
  <si>
    <t>Borino</t>
  </si>
  <si>
    <t>Leobold</t>
  </si>
  <si>
    <t>Stringer</t>
  </si>
  <si>
    <t>Spence</t>
  </si>
  <si>
    <t>Liberal</t>
  </si>
  <si>
    <t>Keenan</t>
  </si>
  <si>
    <t>Blossick-Sanchez</t>
  </si>
  <si>
    <t>Colapinto</t>
  </si>
  <si>
    <t>Snead</t>
  </si>
  <si>
    <t>Klissas</t>
  </si>
  <si>
    <t>Levy</t>
  </si>
  <si>
    <t>Brand</t>
  </si>
  <si>
    <t>Steve Levy</t>
  </si>
  <si>
    <t>Goglas</t>
  </si>
  <si>
    <t>Van Kirk</t>
  </si>
  <si>
    <t>Cuthbertson</t>
  </si>
  <si>
    <t>O'Hara</t>
  </si>
  <si>
    <t>Cuthbertson (SRH)</t>
  </si>
  <si>
    <t>Johnson, Jr.</t>
  </si>
  <si>
    <t>Bergman</t>
  </si>
  <si>
    <t xml:space="preserve">                     Labriola</t>
  </si>
  <si>
    <t>Labriola</t>
  </si>
  <si>
    <t>Hamill</t>
  </si>
  <si>
    <t>Steven L. Labriola</t>
  </si>
  <si>
    <t xml:space="preserve">                   Sidikman</t>
  </si>
  <si>
    <t>Biggio</t>
  </si>
  <si>
    <t>David S. Sidikman</t>
  </si>
  <si>
    <t>Grasso</t>
  </si>
  <si>
    <t>Michel</t>
  </si>
  <si>
    <t>Buonagura</t>
  </si>
  <si>
    <t>Vargas</t>
  </si>
  <si>
    <t>Russo, Jr.</t>
  </si>
  <si>
    <t>Sobczak</t>
  </si>
  <si>
    <t>Maron</t>
  </si>
  <si>
    <t>Cascio</t>
  </si>
  <si>
    <t>Rhoden</t>
  </si>
  <si>
    <t>DeFelice</t>
  </si>
  <si>
    <t>Corry</t>
  </si>
  <si>
    <t>Chen</t>
  </si>
  <si>
    <t>Barry S. Grodenchik</t>
  </si>
  <si>
    <t>Huhn</t>
  </si>
  <si>
    <t>Kaplan-Vila</t>
  </si>
  <si>
    <t>Ottulich</t>
  </si>
  <si>
    <t>New York State by Assembly District — November 5, 2002</t>
  </si>
  <si>
    <t>Bank</t>
  </si>
  <si>
    <t>Michael Cohen</t>
  </si>
  <si>
    <t>Borriello</t>
  </si>
  <si>
    <t>Rejas</t>
  </si>
  <si>
    <t>Block</t>
  </si>
  <si>
    <t>Antoine</t>
  </si>
  <si>
    <t>Gonzales</t>
  </si>
  <si>
    <t>Foote</t>
  </si>
  <si>
    <t>Johnston, Jr.</t>
  </si>
  <si>
    <t>Roper</t>
  </si>
  <si>
    <t>Linden</t>
  </si>
  <si>
    <t>Alatsas</t>
  </si>
  <si>
    <t>Belli</t>
  </si>
  <si>
    <t>Delgiudice</t>
  </si>
  <si>
    <t>Toolan</t>
  </si>
  <si>
    <t>Wrubel</t>
  </si>
  <si>
    <t>Taveras</t>
  </si>
  <si>
    <t xml:space="preserve">                          Boyland</t>
  </si>
  <si>
    <t>Farrakhan</t>
  </si>
  <si>
    <t>Boyland</t>
  </si>
  <si>
    <t>William Frank Boyland</t>
  </si>
  <si>
    <t>Kinard</t>
  </si>
  <si>
    <t>Evangelista</t>
  </si>
  <si>
    <t>Lavelle</t>
  </si>
  <si>
    <t>Player</t>
  </si>
  <si>
    <t>John W. Lavelle</t>
  </si>
  <si>
    <t xml:space="preserve">                         Straniere</t>
  </si>
  <si>
    <t>Robert A. Straniere</t>
  </si>
  <si>
    <t>Peters</t>
  </si>
  <si>
    <t>O'Callaghan</t>
  </si>
  <si>
    <t>Karako</t>
  </si>
  <si>
    <t>Cuttitta</t>
  </si>
  <si>
    <t>Sporn</t>
  </si>
  <si>
    <t>Rexach</t>
  </si>
  <si>
    <t>Espaillat</t>
  </si>
  <si>
    <t>Rexach (RNY)</t>
  </si>
  <si>
    <t>Hilson</t>
  </si>
  <si>
    <t>Spuches</t>
  </si>
  <si>
    <t>Latner</t>
  </si>
  <si>
    <t>Henderson</t>
  </si>
  <si>
    <t xml:space="preserve">                               Davis</t>
  </si>
  <si>
    <t>Agosto</t>
  </si>
  <si>
    <t>Gloria Davis</t>
  </si>
  <si>
    <t xml:space="preserve">                                Klein</t>
  </si>
  <si>
    <t>Polanco</t>
  </si>
  <si>
    <t>Jeffrey Klein</t>
  </si>
  <si>
    <t xml:space="preserve">                         Kaufman</t>
  </si>
  <si>
    <t>Tuttle</t>
  </si>
  <si>
    <t>Kaufman</t>
  </si>
  <si>
    <t>Stephen B. Kaufman</t>
  </si>
  <si>
    <t>Rakal</t>
  </si>
  <si>
    <t>Osterczy</t>
  </si>
  <si>
    <t>Espada</t>
  </si>
  <si>
    <t>Giardina</t>
  </si>
  <si>
    <t>Tamagna</t>
  </si>
  <si>
    <t>Vasta</t>
  </si>
  <si>
    <t>Bramson</t>
  </si>
  <si>
    <t>Tocci</t>
  </si>
  <si>
    <t>Naughton</t>
  </si>
  <si>
    <t>Ronald C. Tocci</t>
  </si>
  <si>
    <t>Prunty</t>
  </si>
  <si>
    <t>Fiorelli</t>
  </si>
  <si>
    <t>Gromack</t>
  </si>
  <si>
    <t>Fitton</t>
  </si>
  <si>
    <t>Alexander J. Gromack</t>
  </si>
  <si>
    <t>Magar, Sr.</t>
  </si>
  <si>
    <t>Mills, III</t>
  </si>
  <si>
    <t>Howard D. Mills, III</t>
  </si>
  <si>
    <t xml:space="preserve">                    Gunther, III</t>
  </si>
  <si>
    <t>Brenner</t>
  </si>
  <si>
    <t>McMurrer</t>
  </si>
  <si>
    <t>Jacob E. Gunther, III</t>
  </si>
  <si>
    <t>Brenner (WLB)</t>
  </si>
  <si>
    <t>Sorensen</t>
  </si>
  <si>
    <t>Lloyd</t>
  </si>
  <si>
    <t>Mileo</t>
  </si>
  <si>
    <t>Noonan</t>
  </si>
  <si>
    <t>Amell, Jr.</t>
  </si>
  <si>
    <t>Day</t>
  </si>
  <si>
    <t>Myers</t>
  </si>
  <si>
    <t>Champagne</t>
  </si>
  <si>
    <t>Robert G. Prentiss</t>
  </si>
  <si>
    <t>Mauro</t>
  </si>
  <si>
    <t>Dorn</t>
  </si>
  <si>
    <t>Tallon</t>
  </si>
  <si>
    <t>Cucchiara</t>
  </si>
  <si>
    <t>Nobles (POI)</t>
  </si>
  <si>
    <t>Ritchie</t>
  </si>
  <si>
    <t>Ritchie (VOP)</t>
  </si>
  <si>
    <t>Sanford</t>
  </si>
  <si>
    <t>Christensen (VET)</t>
  </si>
  <si>
    <t>Vaughn</t>
  </si>
  <si>
    <t>Magnarelli (VET)</t>
  </si>
  <si>
    <t>Delaney</t>
  </si>
  <si>
    <t>Jeffrey D. Brown</t>
  </si>
  <si>
    <t>Behling</t>
  </si>
  <si>
    <t>Ohl</t>
  </si>
  <si>
    <t>Will Barclay</t>
  </si>
  <si>
    <t>Sigler</t>
  </si>
  <si>
    <t>Lamb</t>
  </si>
  <si>
    <t>Thiesen</t>
  </si>
  <si>
    <t>Robert J. Warner</t>
  </si>
  <si>
    <t>Dinga (AFD)</t>
  </si>
  <si>
    <t>Baldrey</t>
  </si>
  <si>
    <t>Barber</t>
  </si>
  <si>
    <t>Holtz</t>
  </si>
  <si>
    <t>D'Amico</t>
  </si>
  <si>
    <t>Eames</t>
  </si>
  <si>
    <t>Fero</t>
  </si>
  <si>
    <t>Amato</t>
  </si>
  <si>
    <t>Benoy</t>
  </si>
  <si>
    <t>Winner, Jr.</t>
  </si>
  <si>
    <t>Fraboni</t>
  </si>
  <si>
    <t>George H. Winner, Jr.</t>
  </si>
  <si>
    <t>Delmonte</t>
  </si>
  <si>
    <t>Demler</t>
  </si>
  <si>
    <t>Francine Delmonte</t>
  </si>
  <si>
    <t>Belbas, Jr.</t>
  </si>
  <si>
    <t>Scott</t>
  </si>
  <si>
    <t>Fisher, III (LPP)</t>
  </si>
  <si>
    <t>Kalota</t>
  </si>
  <si>
    <t>Higgins</t>
  </si>
  <si>
    <t>Brian Higgins</t>
  </si>
  <si>
    <t>Nagel</t>
  </si>
  <si>
    <t>Richard A. Smith</t>
  </si>
  <si>
    <t>Nagel (SMP)</t>
  </si>
  <si>
    <t>Kennison</t>
  </si>
  <si>
    <t>Ward</t>
  </si>
  <si>
    <t>Catherine M. Young</t>
  </si>
  <si>
    <t xml:space="preserve">    AFD — Alliance for Dinga</t>
  </si>
  <si>
    <t xml:space="preserve">    LPP — Latino Popular Party</t>
  </si>
  <si>
    <t xml:space="preserve">    POI — Power of Ideas Party</t>
  </si>
  <si>
    <t xml:space="preserve">    RNY — Reform Party of New York</t>
  </si>
  <si>
    <t xml:space="preserve">    SMP — Smart Party</t>
  </si>
  <si>
    <t xml:space="preserve">    SRH — Senior Health Care</t>
  </si>
  <si>
    <t xml:space="preserve">    VOP — Voice of the People Party</t>
  </si>
  <si>
    <t xml:space="preserve">    WLB — We Love Ben Party</t>
  </si>
  <si>
    <t>2  Special Election held on November 4, 2003.</t>
  </si>
  <si>
    <t>Right to Life</t>
  </si>
  <si>
    <t>Borda</t>
  </si>
  <si>
    <t>Chou</t>
  </si>
  <si>
    <t>Albert</t>
  </si>
  <si>
    <t>Kann</t>
  </si>
  <si>
    <t>Langhenry</t>
  </si>
  <si>
    <t>Pereira</t>
  </si>
  <si>
    <t>Lowy</t>
  </si>
  <si>
    <t>Meadows</t>
  </si>
  <si>
    <t>Edward</t>
  </si>
  <si>
    <t>Siracuse</t>
  </si>
  <si>
    <t>Gerena-Rochet</t>
  </si>
  <si>
    <t>MacKinnon</t>
  </si>
  <si>
    <t>Swanson</t>
  </si>
  <si>
    <t>Arcade</t>
  </si>
  <si>
    <t>Tatevosyan</t>
  </si>
  <si>
    <t>Klein</t>
  </si>
  <si>
    <t>Van Vlack</t>
  </si>
  <si>
    <t>Farney</t>
  </si>
  <si>
    <t>Raboff</t>
  </si>
  <si>
    <r>
      <t>Ninety-Eighth</t>
    </r>
    <r>
      <rPr>
        <vertAlign val="superscript"/>
        <sz val="11"/>
        <rFont val="Arial"/>
        <family val="2"/>
      </rPr>
      <t>2</t>
    </r>
  </si>
  <si>
    <t>Felber</t>
  </si>
  <si>
    <t>Searles</t>
  </si>
  <si>
    <t>Farrar</t>
  </si>
  <si>
    <t>Lieberson</t>
  </si>
  <si>
    <t>Looker</t>
  </si>
  <si>
    <t>Jenkins</t>
  </si>
  <si>
    <t>Bombard</t>
  </si>
  <si>
    <t>Monnet</t>
  </si>
  <si>
    <t>Rosetti</t>
  </si>
  <si>
    <t>DeMare</t>
  </si>
  <si>
    <t>Partridge</t>
  </si>
  <si>
    <t>Turdik</t>
  </si>
  <si>
    <t>Mulcahy</t>
  </si>
  <si>
    <t>Jefferson</t>
  </si>
  <si>
    <t>Moncayo</t>
  </si>
  <si>
    <t>Sarsfield</t>
  </si>
  <si>
    <t>Hark</t>
  </si>
  <si>
    <t xml:space="preserve">                        Wertz</t>
  </si>
  <si>
    <t>Wertz</t>
  </si>
  <si>
    <t xml:space="preserve">                    Wertz</t>
  </si>
  <si>
    <t>Robert C. Wertz</t>
  </si>
  <si>
    <t>Hroncich, Jr.</t>
  </si>
  <si>
    <t xml:space="preserve">                     Barraga</t>
  </si>
  <si>
    <t xml:space="preserve">                  Barraga</t>
  </si>
  <si>
    <t>Christy</t>
  </si>
  <si>
    <t xml:space="preserve">                         Boyle</t>
  </si>
  <si>
    <t xml:space="preserve">                   Flanagan</t>
  </si>
  <si>
    <t>Flanagan</t>
  </si>
  <si>
    <t xml:space="preserve">               Flanagan</t>
  </si>
  <si>
    <t>John J. Flanagan</t>
  </si>
  <si>
    <t>Sansiviero</t>
  </si>
  <si>
    <t>Tartaglia</t>
  </si>
  <si>
    <t>Bergin</t>
  </si>
  <si>
    <t xml:space="preserve">                             Herbst</t>
  </si>
  <si>
    <t xml:space="preserve">                       Herbst</t>
  </si>
  <si>
    <t>Herbst</t>
  </si>
  <si>
    <t>Marc W. Herbst</t>
  </si>
  <si>
    <t>Sigalow</t>
  </si>
  <si>
    <t>Donna Ferrara</t>
  </si>
  <si>
    <t>Galluscio</t>
  </si>
  <si>
    <t>Samuels</t>
  </si>
  <si>
    <t>Beagan</t>
  </si>
  <si>
    <t>Hill Hooper</t>
  </si>
  <si>
    <t>Earlene Hill Hooper</t>
  </si>
  <si>
    <t>November</t>
  </si>
  <si>
    <t>Hagan</t>
  </si>
  <si>
    <t>Kathleen P. Murray</t>
  </si>
  <si>
    <t>Bergstein</t>
  </si>
  <si>
    <t xml:space="preserve">                              Raimo</t>
  </si>
  <si>
    <t xml:space="preserve">                              Alfano</t>
  </si>
  <si>
    <t>Raimo</t>
  </si>
  <si>
    <t>Bonagura</t>
  </si>
  <si>
    <t>Stasi</t>
  </si>
  <si>
    <t>Sica</t>
  </si>
  <si>
    <t>New York State by Assembly District — November 7, 2000</t>
  </si>
  <si>
    <t>Roemmelt</t>
  </si>
  <si>
    <t>Rhodd-Cummings</t>
  </si>
  <si>
    <t xml:space="preserve">                           Duvalle</t>
  </si>
  <si>
    <t>Pauline Rhodd-Cummings</t>
  </si>
  <si>
    <t>Hutchison</t>
  </si>
  <si>
    <t>Merino</t>
  </si>
  <si>
    <t>Honigsfeld</t>
  </si>
  <si>
    <t>Lemos</t>
  </si>
  <si>
    <t>Johnert</t>
  </si>
  <si>
    <t>Seminerio</t>
  </si>
  <si>
    <t>Maslow</t>
  </si>
  <si>
    <t>Smith-Parker</t>
  </si>
  <si>
    <t>Sampson</t>
  </si>
  <si>
    <t>Lareche</t>
  </si>
  <si>
    <t>Hurd</t>
  </si>
  <si>
    <t>Clancy, Jr.</t>
  </si>
  <si>
    <t>Sanchez (SCH)</t>
  </si>
  <si>
    <t xml:space="preserve">                             Colton</t>
  </si>
  <si>
    <t>DeAngelo</t>
  </si>
  <si>
    <t>Cimato</t>
  </si>
  <si>
    <t>Frediani</t>
  </si>
  <si>
    <t>Harmatiuk</t>
  </si>
  <si>
    <t>LaBoy</t>
  </si>
  <si>
    <t>Pawson</t>
  </si>
  <si>
    <t>DeVincentis</t>
  </si>
  <si>
    <t>Venturina</t>
  </si>
  <si>
    <t>Stevens</t>
  </si>
  <si>
    <t>William F. Boyland</t>
  </si>
  <si>
    <t xml:space="preserve">                               Vann</t>
  </si>
  <si>
    <t>Bramwell</t>
  </si>
  <si>
    <t>Suber</t>
  </si>
  <si>
    <t>Albert Vann</t>
  </si>
  <si>
    <t>Goodridge</t>
  </si>
  <si>
    <t>Caesar</t>
  </si>
  <si>
    <t>Helbock, Jr.</t>
  </si>
  <si>
    <t>Veasey</t>
  </si>
  <si>
    <t xml:space="preserve">                         Vitaliano</t>
  </si>
  <si>
    <t>Vitaliano</t>
  </si>
  <si>
    <t>Hamilton</t>
  </si>
  <si>
    <t>Eric N. Vitaliano</t>
  </si>
  <si>
    <t>Hartigan</t>
  </si>
  <si>
    <t xml:space="preserve">                               Silver</t>
  </si>
  <si>
    <t xml:space="preserve">                           Sanders</t>
  </si>
  <si>
    <t xml:space="preserve">                         Gottfried</t>
  </si>
  <si>
    <t>McCoy</t>
  </si>
  <si>
    <t>Price</t>
  </si>
  <si>
    <t>Mauriello</t>
  </si>
  <si>
    <t>Herz</t>
  </si>
  <si>
    <t>Pascale</t>
  </si>
  <si>
    <t xml:space="preserve">                           Sullivan</t>
  </si>
  <si>
    <t>Edward C. Sullivan</t>
  </si>
  <si>
    <t>Brashe</t>
  </si>
  <si>
    <t>Polansky</t>
  </si>
  <si>
    <t xml:space="preserve">                              Ravitz</t>
  </si>
  <si>
    <t>Ravitz</t>
  </si>
  <si>
    <t>John Ravitz</t>
  </si>
  <si>
    <t xml:space="preserve">                             Arroyo</t>
  </si>
  <si>
    <t>Wansi</t>
  </si>
  <si>
    <t xml:space="preserve">                             Alamo</t>
  </si>
  <si>
    <t xml:space="preserve">                           Diaz, Jr.</t>
  </si>
  <si>
    <t>Dzung-Do</t>
  </si>
  <si>
    <t>Soto</t>
  </si>
  <si>
    <t xml:space="preserve">                               Nuzzo</t>
  </si>
  <si>
    <t>Franklin</t>
  </si>
  <si>
    <t>Brawley</t>
  </si>
  <si>
    <t>Gomez</t>
  </si>
  <si>
    <t>Richman</t>
  </si>
  <si>
    <t>Sauerzopf</t>
  </si>
  <si>
    <t xml:space="preserve">                            Pretlow</t>
  </si>
  <si>
    <t>James Gary Pretlow</t>
  </si>
  <si>
    <t xml:space="preserve">                               Tocci</t>
  </si>
  <si>
    <t xml:space="preserve">                          Brodsky</t>
  </si>
  <si>
    <t>Biegeleisen</t>
  </si>
  <si>
    <t xml:space="preserve">                              Spano</t>
  </si>
  <si>
    <t>Michael J. Spano</t>
  </si>
  <si>
    <t>DiFabio</t>
  </si>
  <si>
    <t>Tener</t>
  </si>
  <si>
    <t xml:space="preserve">                         Matusow</t>
  </si>
  <si>
    <t>Corcoran</t>
  </si>
  <si>
    <t>Matusow</t>
  </si>
  <si>
    <t>Naomi C. Matusow</t>
  </si>
  <si>
    <t>Sarcone</t>
  </si>
  <si>
    <t xml:space="preserve">                  Stephens, Jr.</t>
  </si>
  <si>
    <t xml:space="preserve">                        Gromack</t>
  </si>
  <si>
    <t xml:space="preserve">                           Colman</t>
  </si>
  <si>
    <t>Sanguinetti</t>
  </si>
  <si>
    <t>Colman</t>
  </si>
  <si>
    <t>Samuel Colman</t>
  </si>
  <si>
    <t>Sollami</t>
  </si>
  <si>
    <t xml:space="preserve">                          Calhoun</t>
  </si>
  <si>
    <t>Waugh</t>
  </si>
  <si>
    <t>Spencer</t>
  </si>
  <si>
    <t>Kyriacou</t>
  </si>
  <si>
    <t xml:space="preserve">                             Kirwan</t>
  </si>
  <si>
    <t>Ruggiero</t>
  </si>
  <si>
    <t xml:space="preserve">                               Miller</t>
  </si>
  <si>
    <t>Brenner (ESL)</t>
  </si>
  <si>
    <t>Salem</t>
  </si>
  <si>
    <t xml:space="preserve">                         Manning</t>
  </si>
  <si>
    <t>Gravelle</t>
  </si>
  <si>
    <t xml:space="preserve">                        D'Andrea</t>
  </si>
  <si>
    <t>Robert A. D'Andrea</t>
  </si>
  <si>
    <t>Seeley</t>
  </si>
  <si>
    <t>Tantillo</t>
  </si>
  <si>
    <t xml:space="preserve">                                 Faso</t>
  </si>
  <si>
    <t>Laux</t>
  </si>
  <si>
    <t>John J. Faso</t>
  </si>
  <si>
    <t>Trachtenberg</t>
  </si>
  <si>
    <t xml:space="preserve">                           Tedisco</t>
  </si>
  <si>
    <t>Hoey</t>
  </si>
  <si>
    <t>Bruner</t>
  </si>
  <si>
    <t>Tonko (PRO)</t>
  </si>
  <si>
    <t>Mihalko</t>
  </si>
  <si>
    <t>Lynch</t>
  </si>
  <si>
    <t xml:space="preserve">                           Prentiss</t>
  </si>
  <si>
    <t>Prentiss (NHT)</t>
  </si>
  <si>
    <t>Casale</t>
  </si>
  <si>
    <t xml:space="preserve">                                Little</t>
  </si>
  <si>
    <t>Elizabeth O'C. Little</t>
  </si>
  <si>
    <t xml:space="preserve">                             Ortloff</t>
  </si>
  <si>
    <t>Traub</t>
  </si>
  <si>
    <t>Dierdre K. Scozzafava</t>
  </si>
  <si>
    <t>Scozzafava (VOT)</t>
  </si>
  <si>
    <t xml:space="preserve">                              Butler</t>
  </si>
  <si>
    <t xml:space="preserve">                               Nortz</t>
  </si>
  <si>
    <t>Parks</t>
  </si>
  <si>
    <t>H. Robert Nortz</t>
  </si>
  <si>
    <t>Nortz (VOT)</t>
  </si>
  <si>
    <t>Aubertine (FAR)</t>
  </si>
  <si>
    <t>Arena</t>
  </si>
  <si>
    <t>Hammill</t>
  </si>
  <si>
    <t>Sullivan (VRT)</t>
  </si>
  <si>
    <t>Frances T. Sullivan</t>
  </si>
  <si>
    <t xml:space="preserve">                         Bragman</t>
  </si>
  <si>
    <t>Bragman</t>
  </si>
  <si>
    <t>Michael J. Bragman</t>
  </si>
  <si>
    <t>Bragman (VET)</t>
  </si>
  <si>
    <t>Plavoukos</t>
  </si>
  <si>
    <t>William E. Sanford</t>
  </si>
  <si>
    <t>DeRegis</t>
  </si>
  <si>
    <t xml:space="preserve">                       Brown, Jr.</t>
  </si>
  <si>
    <t>Brown, Jr.</t>
  </si>
  <si>
    <t>Harold C. Brown, Jr.</t>
  </si>
  <si>
    <t>O'Hara (BIP)</t>
  </si>
  <si>
    <t xml:space="preserve">                           Crouch</t>
  </si>
  <si>
    <t xml:space="preserve">                              Dinga</t>
  </si>
  <si>
    <t>Jay J. Dinga</t>
  </si>
  <si>
    <t xml:space="preserve">                           Warner</t>
  </si>
  <si>
    <t>Salcedo</t>
  </si>
  <si>
    <t xml:space="preserve">                              Luster</t>
  </si>
  <si>
    <t>Martin A. Luster</t>
  </si>
  <si>
    <t xml:space="preserve">                     Winner, Jr.</t>
  </si>
  <si>
    <t>Graubard</t>
  </si>
  <si>
    <t>Casella</t>
  </si>
  <si>
    <t xml:space="preserve">                          Bacalles</t>
  </si>
  <si>
    <t>Griebel</t>
  </si>
  <si>
    <t>Belmont</t>
  </si>
  <si>
    <t>Tucciarello</t>
  </si>
  <si>
    <t>Tranquill</t>
  </si>
  <si>
    <t>Robach</t>
  </si>
  <si>
    <t>Faber</t>
  </si>
  <si>
    <t>Joseph E. Robach</t>
  </si>
  <si>
    <t>Del Monte</t>
  </si>
  <si>
    <t>Daly</t>
  </si>
  <si>
    <t>Francine Del Monte</t>
  </si>
  <si>
    <t>Dawson</t>
  </si>
  <si>
    <t>Seaman</t>
  </si>
  <si>
    <t>David E. Seaman</t>
  </si>
  <si>
    <t>Annis</t>
  </si>
  <si>
    <t>Eve</t>
  </si>
  <si>
    <t>Arthur O. Eve</t>
  </si>
  <si>
    <t>Heymanowski</t>
  </si>
  <si>
    <t>Guericio</t>
  </si>
  <si>
    <t>Brian M. Higgins</t>
  </si>
  <si>
    <t>Hotho</t>
  </si>
  <si>
    <t>Tylock</t>
  </si>
  <si>
    <t>Smith (SMA)</t>
  </si>
  <si>
    <t>Fontana</t>
  </si>
  <si>
    <t>Gleason, Jr.</t>
  </si>
  <si>
    <t>Elf</t>
  </si>
  <si>
    <t xml:space="preserve">    BIP — Bipartisan</t>
  </si>
  <si>
    <t xml:space="preserve">    ESL — End SC Legislature</t>
  </si>
  <si>
    <t xml:space="preserve">    FAR — Farmers and Small Business Party</t>
  </si>
  <si>
    <t xml:space="preserve">    NHT — No Home Heat Tax</t>
  </si>
  <si>
    <t xml:space="preserve">    PRO — Property Tax Cut Party</t>
  </si>
  <si>
    <t xml:space="preserve">    SCH — School Choice</t>
  </si>
  <si>
    <t xml:space="preserve">    SMA — Smart Taxes</t>
  </si>
  <si>
    <t xml:space="preserve">    VOT — Voter Rights Party</t>
  </si>
  <si>
    <t xml:space="preserve">    VRT — Voter Rights Party</t>
  </si>
  <si>
    <t>2  Special Election held on February 12, 2002.</t>
  </si>
  <si>
    <r>
      <t>Nineteenth</t>
    </r>
    <r>
      <rPr>
        <vertAlign val="superscript"/>
        <sz val="11"/>
        <rFont val="Arial"/>
        <family val="2"/>
      </rPr>
      <t>2</t>
    </r>
  </si>
  <si>
    <r>
      <t>Fifty-Sixth</t>
    </r>
    <r>
      <rPr>
        <vertAlign val="superscript"/>
        <sz val="11"/>
        <rFont val="Arial"/>
        <family val="2"/>
      </rPr>
      <t>2</t>
    </r>
  </si>
  <si>
    <r>
      <t>Sixtieth</t>
    </r>
    <r>
      <rPr>
        <vertAlign val="superscript"/>
        <sz val="11"/>
        <rFont val="Arial"/>
        <family val="2"/>
      </rPr>
      <t>2</t>
    </r>
  </si>
  <si>
    <r>
      <t>One Hundredth</t>
    </r>
    <r>
      <rPr>
        <vertAlign val="superscript"/>
        <sz val="11"/>
        <rFont val="Arial"/>
        <family val="2"/>
      </rPr>
      <t>2</t>
    </r>
  </si>
  <si>
    <r>
      <t>One Hundred Eighteenth</t>
    </r>
    <r>
      <rPr>
        <vertAlign val="superscript"/>
        <sz val="11"/>
        <rFont val="Arial"/>
        <family val="2"/>
      </rPr>
      <t>2</t>
    </r>
  </si>
  <si>
    <t>Working
Families</t>
  </si>
  <si>
    <t>Howell</t>
  </si>
  <si>
    <t>Mercier</t>
  </si>
  <si>
    <t>Henley</t>
  </si>
  <si>
    <t>Griffith</t>
  </si>
  <si>
    <t>Enriquez</t>
  </si>
  <si>
    <t>Sloan</t>
  </si>
  <si>
    <t>Hurd, II</t>
  </si>
  <si>
    <t>Jorgensen</t>
  </si>
  <si>
    <t>Dowd</t>
  </si>
  <si>
    <t>Agovino</t>
  </si>
  <si>
    <t>Edelglass</t>
  </si>
  <si>
    <t>Ferri</t>
  </si>
  <si>
    <t>Bertsch</t>
  </si>
  <si>
    <t>Audi-Desorbo</t>
  </si>
  <si>
    <t>Dunlea</t>
  </si>
  <si>
    <t>Hassig</t>
  </si>
  <si>
    <t>Whitney</t>
  </si>
  <si>
    <t>Luster</t>
  </si>
  <si>
    <t>Greenbaum</t>
  </si>
  <si>
    <t>D'Arrigo</t>
  </si>
  <si>
    <t>Acampora</t>
  </si>
  <si>
    <t>Eckart</t>
  </si>
  <si>
    <t>Mazzarelli</t>
  </si>
  <si>
    <t>Blanchi, Jr.</t>
  </si>
  <si>
    <t xml:space="preserve">            Mazzarelli (FAM)</t>
  </si>
  <si>
    <t>Debra J. Mazzarelli</t>
  </si>
  <si>
    <t>La Valle</t>
  </si>
  <si>
    <t xml:space="preserve">         Englebright (CUT)</t>
  </si>
  <si>
    <t xml:space="preserve">          Englebright (STO)</t>
  </si>
  <si>
    <t xml:space="preserve">                Harenberg</t>
  </si>
  <si>
    <t>Cohalan</t>
  </si>
  <si>
    <t>Harenberg</t>
  </si>
  <si>
    <t>Desmond</t>
  </si>
  <si>
    <t>Harenberg (LON)</t>
  </si>
  <si>
    <t>Paul E. Harenberg</t>
  </si>
  <si>
    <t>Turley</t>
  </si>
  <si>
    <t xml:space="preserve">                  Democrat</t>
  </si>
  <si>
    <t>Heath</t>
  </si>
  <si>
    <t>Beskin</t>
  </si>
  <si>
    <t>Konanez</t>
  </si>
  <si>
    <t>Resch</t>
  </si>
  <si>
    <t>Grasso-Tarlen</t>
  </si>
  <si>
    <t>Holmes, Sr.</t>
  </si>
  <si>
    <t>Perrotta</t>
  </si>
  <si>
    <t xml:space="preserve">              Sweeney (LON)</t>
  </si>
  <si>
    <t>Podgor</t>
  </si>
  <si>
    <t xml:space="preserve">                     Barca</t>
  </si>
  <si>
    <t>Zatlin</t>
  </si>
  <si>
    <t>Cassin</t>
  </si>
  <si>
    <t>Bubin-Buonagura</t>
  </si>
  <si>
    <t>Marc Herbst</t>
  </si>
  <si>
    <t>Gerber</t>
  </si>
  <si>
    <t>Cuddy, Jr.</t>
  </si>
  <si>
    <t xml:space="preserve">                         Dinapoli</t>
  </si>
  <si>
    <t>Zampino</t>
  </si>
  <si>
    <t xml:space="preserve">                Dinapoli</t>
  </si>
  <si>
    <t>Thomas P. Dinapoli</t>
  </si>
  <si>
    <t>Mannheimer</t>
  </si>
  <si>
    <t>Hill</t>
  </si>
  <si>
    <t>Abrahams</t>
  </si>
  <si>
    <t>Brannigan</t>
  </si>
  <si>
    <t>Earlene Hooper Hill</t>
  </si>
  <si>
    <t>Davidson</t>
  </si>
  <si>
    <t>Slutsky</t>
  </si>
  <si>
    <t>Steinberg</t>
  </si>
  <si>
    <t>Vitanza</t>
  </si>
  <si>
    <t>Darcy</t>
  </si>
  <si>
    <t xml:space="preserve">                        Michel</t>
  </si>
  <si>
    <t>James Darcy</t>
  </si>
  <si>
    <t xml:space="preserve">                          Brady</t>
  </si>
  <si>
    <t xml:space="preserve">                        Pheffer</t>
  </si>
  <si>
    <t>Forte</t>
  </si>
  <si>
    <t xml:space="preserve">                       Weprin</t>
  </si>
  <si>
    <t xml:space="preserve">               McLaughlin</t>
  </si>
  <si>
    <t>Prescott</t>
  </si>
  <si>
    <t xml:space="preserve">                          Prescott</t>
  </si>
  <si>
    <t xml:space="preserve">                Mayersohn</t>
  </si>
  <si>
    <t>Kuzmicz</t>
  </si>
  <si>
    <t xml:space="preserve">                             Young</t>
  </si>
  <si>
    <t>Murray (QVH)</t>
  </si>
  <si>
    <t>Bellizzi</t>
  </si>
  <si>
    <t>Salgado</t>
  </si>
  <si>
    <t>LoGiudice</t>
  </si>
  <si>
    <t>Denis J. Butler</t>
  </si>
  <si>
    <t>Reinhardt</t>
  </si>
  <si>
    <t>Frank Seddio</t>
  </si>
  <si>
    <t xml:space="preserve">                            Griffith</t>
  </si>
  <si>
    <t>Rodriquez</t>
  </si>
  <si>
    <t>Edward Griffith</t>
  </si>
  <si>
    <t>O'Dea</t>
  </si>
  <si>
    <t>Caruso</t>
  </si>
  <si>
    <t>Lena Cymbrowitz</t>
  </si>
  <si>
    <t xml:space="preserve">                        Bruno</t>
  </si>
  <si>
    <t>Laucella</t>
  </si>
  <si>
    <t>Sutliff</t>
  </si>
  <si>
    <t>Marano</t>
  </si>
  <si>
    <t>Soleil</t>
  </si>
  <si>
    <t>Trzcinski</t>
  </si>
  <si>
    <t>Alicea (FUS)</t>
  </si>
  <si>
    <t>Taveras (FUS)</t>
  </si>
  <si>
    <t>Muniz</t>
  </si>
  <si>
    <t>Walton-Parrish</t>
  </si>
  <si>
    <t xml:space="preserve">                         Voyticky</t>
  </si>
  <si>
    <t xml:space="preserve">                            Caesar</t>
  </si>
  <si>
    <t xml:space="preserve">                         Connelly</t>
  </si>
  <si>
    <t>Attisano</t>
  </si>
  <si>
    <t>Bryk</t>
  </si>
  <si>
    <t>Elizabeth A. Connelly</t>
  </si>
  <si>
    <t>Diaz-La Rocca</t>
  </si>
  <si>
    <t xml:space="preserve">                        Werthein</t>
  </si>
  <si>
    <t>Eskenazi</t>
  </si>
  <si>
    <t>McCormick</t>
  </si>
  <si>
    <t>Madon</t>
  </si>
  <si>
    <t xml:space="preserve">                               Denis</t>
  </si>
  <si>
    <t>Calderon</t>
  </si>
  <si>
    <t>Nelson A. Denis</t>
  </si>
  <si>
    <t>Edwards</t>
  </si>
  <si>
    <t>Horsford</t>
  </si>
  <si>
    <t>Mosley, Sr.</t>
  </si>
  <si>
    <t>Durham (FSP)</t>
  </si>
  <si>
    <t>Sipra</t>
  </si>
  <si>
    <t>Elliotte</t>
  </si>
  <si>
    <t>Kinsolving, Jr.</t>
  </si>
  <si>
    <t>Panneli-Reeves</t>
  </si>
  <si>
    <t xml:space="preserve">                       Newmark</t>
  </si>
  <si>
    <t>Simpson</t>
  </si>
  <si>
    <t xml:space="preserve">                           Ramirez</t>
  </si>
  <si>
    <t>Roberto Ramirez</t>
  </si>
  <si>
    <t>Ortiz, Jr.</t>
  </si>
  <si>
    <t>Celaj</t>
  </si>
  <si>
    <t>Lucchese</t>
  </si>
  <si>
    <t>Valdes</t>
  </si>
  <si>
    <t>Deliavalle</t>
  </si>
  <si>
    <t>Sementilli</t>
  </si>
  <si>
    <t xml:space="preserve">                            Bea, Jr.</t>
  </si>
  <si>
    <t>Samuel D. Bea, Jr.</t>
  </si>
  <si>
    <t>Scova</t>
  </si>
  <si>
    <t>Maybury</t>
  </si>
  <si>
    <t>Guarneri</t>
  </si>
  <si>
    <t xml:space="preserve">                       Hochberg</t>
  </si>
  <si>
    <t xml:space="preserve">                     Schweitzer</t>
  </si>
  <si>
    <t>Audrey G. Hochberg</t>
  </si>
  <si>
    <t>LaMotte</t>
  </si>
  <si>
    <t>Sarcone, III</t>
  </si>
  <si>
    <t>Camacho</t>
  </si>
  <si>
    <t>Comacho</t>
  </si>
  <si>
    <t>Valenza</t>
  </si>
  <si>
    <t xml:space="preserve">                               Spear</t>
  </si>
  <si>
    <t>O'Dwyer</t>
  </si>
  <si>
    <t>Houston</t>
  </si>
  <si>
    <t xml:space="preserve">                      McMurrer</t>
  </si>
  <si>
    <t>Robideau</t>
  </si>
  <si>
    <t>Mathews</t>
  </si>
  <si>
    <t>John J. Guerin</t>
  </si>
  <si>
    <t>Paludi</t>
  </si>
  <si>
    <t>Tedisco (STA)</t>
  </si>
  <si>
    <t>Hampton</t>
  </si>
  <si>
    <t>Domalewicz</t>
  </si>
  <si>
    <t>Fiebka</t>
  </si>
  <si>
    <t>Ferrannini, III</t>
  </si>
  <si>
    <t>Gross</t>
  </si>
  <si>
    <t>Prentiss (STA)</t>
  </si>
  <si>
    <t xml:space="preserve">                          Zappala</t>
  </si>
  <si>
    <t xml:space="preserve">                      Carpenter</t>
  </si>
  <si>
    <t>Carpenter (SAV)</t>
  </si>
  <si>
    <t>Pastizzo</t>
  </si>
  <si>
    <t>Ford</t>
  </si>
  <si>
    <t>Didio</t>
  </si>
  <si>
    <t>Taber</t>
  </si>
  <si>
    <t>Kempisty</t>
  </si>
  <si>
    <t>Carocci, Sr.</t>
  </si>
  <si>
    <t>DiStefano</t>
  </si>
  <si>
    <t>Corbett</t>
  </si>
  <si>
    <t>Engel</t>
  </si>
  <si>
    <t xml:space="preserve">                          Grasso</t>
  </si>
  <si>
    <t>Kirby</t>
  </si>
  <si>
    <t xml:space="preserve">                      Fessenden</t>
  </si>
  <si>
    <t>Krulder</t>
  </si>
  <si>
    <t>Daniel J. Fessenden</t>
  </si>
  <si>
    <t>Archunde</t>
  </si>
  <si>
    <t xml:space="preserve">                              Doran</t>
  </si>
  <si>
    <t>Tousley</t>
  </si>
  <si>
    <t>Craig J. Doran</t>
  </si>
  <si>
    <t>Eber</t>
  </si>
  <si>
    <t>Eber (STV)</t>
  </si>
  <si>
    <t>Ronneneberg</t>
  </si>
  <si>
    <t>Sinclair</t>
  </si>
  <si>
    <t>Rapp</t>
  </si>
  <si>
    <t>Elder</t>
  </si>
  <si>
    <t>Dorscheid</t>
  </si>
  <si>
    <t>Fulmer</t>
  </si>
  <si>
    <t>Dzieiski</t>
  </si>
  <si>
    <t>Jerry Johnson</t>
  </si>
  <si>
    <t>Serio</t>
  </si>
  <si>
    <t>Beaumont</t>
  </si>
  <si>
    <t>Peimer</t>
  </si>
  <si>
    <t>Peimer (FRE)</t>
  </si>
  <si>
    <t>Szary</t>
  </si>
  <si>
    <t>Crawford, Jr.</t>
  </si>
  <si>
    <t>McCarville</t>
  </si>
  <si>
    <t>McCarville (FRE)</t>
  </si>
  <si>
    <t>McCarville (TCN)</t>
  </si>
  <si>
    <t>Vogel</t>
  </si>
  <si>
    <t>Bush</t>
  </si>
  <si>
    <t>Kucewicz</t>
  </si>
  <si>
    <t>Wirth (TWP)</t>
  </si>
  <si>
    <t>Tyler</t>
  </si>
  <si>
    <t xml:space="preserve">    CUT — Cut Property Taxes Party</t>
  </si>
  <si>
    <t xml:space="preserve">    FAM — Families First Party</t>
  </si>
  <si>
    <t xml:space="preserve">    FRE — Freedom Party</t>
  </si>
  <si>
    <t xml:space="preserve">    FSP — Freedom Socialist Party</t>
  </si>
  <si>
    <t xml:space="preserve">    FUS — Fusion Party</t>
  </si>
  <si>
    <t xml:space="preserve">    LON — Long Island Voters for Health Care Party</t>
  </si>
  <si>
    <t xml:space="preserve">    QVH — Vision of Hope Party</t>
  </si>
  <si>
    <t xml:space="preserve">    SAV — Save Our Farms Party</t>
  </si>
  <si>
    <t xml:space="preserve">    STA — Star Tax Cut Party</t>
  </si>
  <si>
    <t xml:space="preserve">    STO — Stop HMO Abuses Party</t>
  </si>
  <si>
    <t xml:space="preserve">    STV — Stop the Violence Party</t>
  </si>
  <si>
    <t xml:space="preserve">    TCN — Tax Cut Now Party</t>
  </si>
  <si>
    <t xml:space="preserve">    TWP —Taxpayer Watchdog Party</t>
  </si>
  <si>
    <t>New York State by Assembly District — November 3, 1998</t>
  </si>
  <si>
    <t>Dinapoli</t>
  </si>
  <si>
    <t>Hackshaw</t>
  </si>
  <si>
    <t>Seeman</t>
  </si>
  <si>
    <t>Donahue</t>
  </si>
  <si>
    <t>Hamburg</t>
  </si>
  <si>
    <t>Bea, Jr.</t>
  </si>
  <si>
    <t>Whittington</t>
  </si>
  <si>
    <t>Kimble</t>
  </si>
  <si>
    <t xml:space="preserve">                   Liberal </t>
  </si>
  <si>
    <t xml:space="preserve">                     Scofield</t>
  </si>
  <si>
    <t xml:space="preserve">                    Sikora</t>
  </si>
  <si>
    <t xml:space="preserve">           Acampora (PTC)</t>
  </si>
  <si>
    <t xml:space="preserve">                      Walton</t>
  </si>
  <si>
    <t xml:space="preserve">                       Eckart</t>
  </si>
  <si>
    <t xml:space="preserve">                  Bradley</t>
  </si>
  <si>
    <t xml:space="preserve">                    McHugh</t>
  </si>
  <si>
    <t xml:space="preserve">                 Mazzarelli</t>
  </si>
  <si>
    <t xml:space="preserve">                   Hussey</t>
  </si>
  <si>
    <t xml:space="preserve">            Mazzarelli (PTC)</t>
  </si>
  <si>
    <t xml:space="preserve">                          Gaul</t>
  </si>
  <si>
    <t xml:space="preserve">                      Gaul</t>
  </si>
  <si>
    <t xml:space="preserve">                    Gaul (PTC)</t>
  </si>
  <si>
    <t xml:space="preserve">          Englebright (SM)</t>
  </si>
  <si>
    <t xml:space="preserve">                     Murphy</t>
  </si>
  <si>
    <t xml:space="preserve">                 Murphy</t>
  </si>
  <si>
    <t xml:space="preserve">            Harenberg (LIV)</t>
  </si>
  <si>
    <t xml:space="preserve">               Murphy (PTC)</t>
  </si>
  <si>
    <t xml:space="preserve">                         Holst</t>
  </si>
  <si>
    <t xml:space="preserve">                 Shields, Jr.</t>
  </si>
  <si>
    <t xml:space="preserve">               Barraga (PTC)</t>
  </si>
  <si>
    <t xml:space="preserve">           Arien Spinner</t>
  </si>
  <si>
    <t xml:space="preserve">              McCarthy</t>
  </si>
  <si>
    <t xml:space="preserve">                   Boyle (PTC)</t>
  </si>
  <si>
    <t xml:space="preserve">                          Levy</t>
  </si>
  <si>
    <t xml:space="preserve">                        Rosen</t>
  </si>
  <si>
    <t xml:space="preserve">                 Hodyno</t>
  </si>
  <si>
    <t xml:space="preserve">                  Santorelli</t>
  </si>
  <si>
    <t xml:space="preserve">               Santorelli</t>
  </si>
  <si>
    <t xml:space="preserve">               Sweeney (LIV)</t>
  </si>
  <si>
    <t xml:space="preserve">                         Lowe</t>
  </si>
  <si>
    <t xml:space="preserve">               Labriola (FRE)</t>
  </si>
  <si>
    <t xml:space="preserve">                          Kroll</t>
  </si>
  <si>
    <t xml:space="preserve">                     Jones</t>
  </si>
  <si>
    <t xml:space="preserve">                     Kroll (FRE)</t>
  </si>
  <si>
    <t xml:space="preserve">                          Fossella</t>
  </si>
  <si>
    <t xml:space="preserve">                     Fossella</t>
  </si>
  <si>
    <t xml:space="preserve">                 Fossella</t>
  </si>
  <si>
    <t>Vito Fossella</t>
  </si>
  <si>
    <t xml:space="preserve">                           Keough</t>
  </si>
  <si>
    <t xml:space="preserve">                  Schlein</t>
  </si>
  <si>
    <t xml:space="preserve">                       Derr</t>
  </si>
  <si>
    <t xml:space="preserve">                  Herbst (FRE)</t>
  </si>
  <si>
    <t xml:space="preserve">                         Schalkan</t>
  </si>
  <si>
    <t xml:space="preserve">                Schalkan</t>
  </si>
  <si>
    <t xml:space="preserve">                   Verow</t>
  </si>
  <si>
    <t xml:space="preserve">                Ferrara (FRE)</t>
  </si>
  <si>
    <t xml:space="preserve">                            Kitt</t>
  </si>
  <si>
    <t xml:space="preserve">                       Kitt (FRE)</t>
  </si>
  <si>
    <t xml:space="preserve">            DiNapoli (NEW)</t>
  </si>
  <si>
    <t xml:space="preserve">                             Garcia</t>
  </si>
  <si>
    <t xml:space="preserve">                            Balboni</t>
  </si>
  <si>
    <t xml:space="preserve">              Mannheimer</t>
  </si>
  <si>
    <t xml:space="preserve">                  Delehunty</t>
  </si>
  <si>
    <t xml:space="preserve">                Balboni (FRE)</t>
  </si>
  <si>
    <t>Michael A. L. Balboni</t>
  </si>
  <si>
    <t xml:space="preserve">                                   Hill</t>
  </si>
  <si>
    <t xml:space="preserve">                             Abram</t>
  </si>
  <si>
    <t xml:space="preserve">                           Roda</t>
  </si>
  <si>
    <t xml:space="preserve">                       Dunkle</t>
  </si>
  <si>
    <t xml:space="preserve">                  Abram (FRE)</t>
  </si>
  <si>
    <t xml:space="preserve">                              Brown</t>
  </si>
  <si>
    <t xml:space="preserve">                             O'Shea</t>
  </si>
  <si>
    <t xml:space="preserve">                         Brown</t>
  </si>
  <si>
    <t xml:space="preserve">                       Slutsky</t>
  </si>
  <si>
    <t xml:space="preserve">                  O'Shea (FRE)</t>
  </si>
  <si>
    <t>Charles J. O'Shea</t>
  </si>
  <si>
    <t xml:space="preserve">                              Aaron</t>
  </si>
  <si>
    <t xml:space="preserve">                  Aaron (FRE)</t>
  </si>
  <si>
    <t xml:space="preserve">                           Wallace</t>
  </si>
  <si>
    <t xml:space="preserve">                             Becker</t>
  </si>
  <si>
    <t xml:space="preserve">                       Vitanza</t>
  </si>
  <si>
    <t xml:space="preserve">                 Becker (FRE)</t>
  </si>
  <si>
    <t>Gregory R. Becker</t>
  </si>
  <si>
    <t xml:space="preserve">                          Raimo</t>
  </si>
  <si>
    <t xml:space="preserve">                  Alfano (FRE)</t>
  </si>
  <si>
    <t xml:space="preserve">              Ariolo-Guarino</t>
  </si>
  <si>
    <t xml:space="preserve">                 Pheffer (IND)</t>
  </si>
  <si>
    <t xml:space="preserve">                             Pinzon</t>
  </si>
  <si>
    <t xml:space="preserve">                  Pinzon (FRE)</t>
  </si>
  <si>
    <t xml:space="preserve">                                Chen</t>
  </si>
  <si>
    <t xml:space="preserve">                       Kowsh, Jr.</t>
  </si>
  <si>
    <t xml:space="preserve">             Kowsh, Jr. (FRE)</t>
  </si>
  <si>
    <t xml:space="preserve">                                  Katz</t>
  </si>
  <si>
    <t xml:space="preserve">                        Tapalaga</t>
  </si>
  <si>
    <t xml:space="preserve">                             Katz</t>
  </si>
  <si>
    <t xml:space="preserve">              Tapalaga (FRE)</t>
  </si>
  <si>
    <t>Melinda R. Katz</t>
  </si>
  <si>
    <t xml:space="preserve">                             Brown</t>
  </si>
  <si>
    <t xml:space="preserve">             Scarborough</t>
  </si>
  <si>
    <t xml:space="preserve">                  Brown (FRE)</t>
  </si>
  <si>
    <t xml:space="preserve">                         Crowley</t>
  </si>
  <si>
    <t xml:space="preserve">                            Mugno</t>
  </si>
  <si>
    <t>Joseph Crowley</t>
  </si>
  <si>
    <t xml:space="preserve">                             Meeks</t>
  </si>
  <si>
    <t>Gregory W. Meeks</t>
  </si>
  <si>
    <t xml:space="preserve">                              James</t>
  </si>
  <si>
    <t xml:space="preserve">                               Jodha</t>
  </si>
  <si>
    <t xml:space="preserve">                           Barnes</t>
  </si>
  <si>
    <t xml:space="preserve">                            Tabone</t>
  </si>
  <si>
    <t xml:space="preserve">                         Cuda, Jr.</t>
  </si>
  <si>
    <t xml:space="preserve">                            Johnert</t>
  </si>
  <si>
    <t xml:space="preserve">                        Genovesi</t>
  </si>
  <si>
    <t xml:space="preserve">                        Burnstein</t>
  </si>
  <si>
    <t>Anthony J. Genovesi</t>
  </si>
  <si>
    <t xml:space="preserve">                         Williams</t>
  </si>
  <si>
    <t xml:space="preserve">                            Green</t>
  </si>
  <si>
    <t xml:space="preserve">                              Hizme</t>
  </si>
  <si>
    <t xml:space="preserve">                       McNeeley</t>
  </si>
  <si>
    <t xml:space="preserve">                         Feldman</t>
  </si>
  <si>
    <t xml:space="preserve">                           Maslow</t>
  </si>
  <si>
    <t xml:space="preserve">                              Zittell</t>
  </si>
  <si>
    <t>Daniel L. Feldman</t>
  </si>
  <si>
    <t xml:space="preserve">                      Polonetsky</t>
  </si>
  <si>
    <t xml:space="preserve">                        Bruno, Jr.</t>
  </si>
  <si>
    <t xml:space="preserve">                     Polonetsky</t>
  </si>
  <si>
    <t>Jules Polonetsky</t>
  </si>
  <si>
    <t xml:space="preserve">                   Santomauro</t>
  </si>
  <si>
    <t xml:space="preserve">                      Ceretti, Jr.</t>
  </si>
  <si>
    <t xml:space="preserve">                     DiGiacomo</t>
  </si>
  <si>
    <t xml:space="preserve">                          Miranda</t>
  </si>
  <si>
    <t xml:space="preserve">                     Harmatiuk</t>
  </si>
  <si>
    <t xml:space="preserve"> '                     Harmatiuk</t>
  </si>
  <si>
    <t xml:space="preserve">                 Harmatiuk (FRE)</t>
  </si>
  <si>
    <t xml:space="preserve">                           English</t>
  </si>
  <si>
    <t xml:space="preserve">                            Gomez</t>
  </si>
  <si>
    <t xml:space="preserve">                      English (FRE)</t>
  </si>
  <si>
    <t xml:space="preserve">                             Dugan</t>
  </si>
  <si>
    <t xml:space="preserve">                          Johnston</t>
  </si>
  <si>
    <t xml:space="preserve">                            Sussillo</t>
  </si>
  <si>
    <t>Eileen C. Dugan</t>
  </si>
  <si>
    <t xml:space="preserve">                         Feliciano</t>
  </si>
  <si>
    <t xml:space="preserve">                             Green</t>
  </si>
  <si>
    <t xml:space="preserve">                             Towns</t>
  </si>
  <si>
    <t xml:space="preserve">                              Forde</t>
  </si>
  <si>
    <t xml:space="preserve">                                Perry</t>
  </si>
  <si>
    <t xml:space="preserve">                                Fiala</t>
  </si>
  <si>
    <t xml:space="preserve">                         Tobacco</t>
  </si>
  <si>
    <t xml:space="preserve">                  Savarimuthu</t>
  </si>
  <si>
    <t xml:space="preserve">                    Tobacco (FRE)</t>
  </si>
  <si>
    <t xml:space="preserve">                Marcovecchio</t>
  </si>
  <si>
    <t xml:space="preserve">                              Mayer</t>
  </si>
  <si>
    <t xml:space="preserve">                           Slattery</t>
  </si>
  <si>
    <t xml:space="preserve">                            Murphy</t>
  </si>
  <si>
    <t xml:space="preserve">                           Bruschi</t>
  </si>
  <si>
    <t>Alexander Pete B. Grannis</t>
  </si>
  <si>
    <t xml:space="preserve">                     Murphy (FRE)</t>
  </si>
  <si>
    <t xml:space="preserve">                         Peterson</t>
  </si>
  <si>
    <t xml:space="preserve">                           Howard</t>
  </si>
  <si>
    <t>Scott Stringer</t>
  </si>
  <si>
    <t xml:space="preserve">                         Rasheed</t>
  </si>
  <si>
    <t>Nelson Antonio Denis</t>
  </si>
  <si>
    <t xml:space="preserve">                               Spies</t>
  </si>
  <si>
    <t xml:space="preserve">                      Antiuk (UPA)</t>
  </si>
  <si>
    <t xml:space="preserve">                           Johnson</t>
  </si>
  <si>
    <t>Keith L. Wright</t>
  </si>
  <si>
    <t xml:space="preserve">                               Stone</t>
  </si>
  <si>
    <t xml:space="preserve">                       Murtaugh</t>
  </si>
  <si>
    <t xml:space="preserve">                            Velona</t>
  </si>
  <si>
    <t xml:space="preserve">                        Ravitz (FRE)</t>
  </si>
  <si>
    <t xml:space="preserve">                           Espada</t>
  </si>
  <si>
    <t xml:space="preserve">                           Nazario</t>
  </si>
  <si>
    <t xml:space="preserve">                         Lefebvre</t>
  </si>
  <si>
    <t xml:space="preserve">                                 Klein</t>
  </si>
  <si>
    <t xml:space="preserve">                          Hagerty</t>
  </si>
  <si>
    <t xml:space="preserve">                       Dzung-Do</t>
  </si>
  <si>
    <t xml:space="preserve">                          Ramirez</t>
  </si>
  <si>
    <t xml:space="preserve">                           Bennett</t>
  </si>
  <si>
    <t xml:space="preserve">                           Brawley</t>
  </si>
  <si>
    <t xml:space="preserve">                          Morales</t>
  </si>
  <si>
    <t xml:space="preserve">                       Mirtz (COM)</t>
  </si>
  <si>
    <t xml:space="preserve">                   Vasquez (TAX)</t>
  </si>
  <si>
    <t xml:space="preserve">                       Anderson</t>
  </si>
  <si>
    <t xml:space="preserve">                           Klapper</t>
  </si>
  <si>
    <t xml:space="preserve">                           Lanzano</t>
  </si>
  <si>
    <t xml:space="preserve">                        Calandra</t>
  </si>
  <si>
    <t xml:space="preserve">                  Calandra (FRE)</t>
  </si>
  <si>
    <t xml:space="preserve">                           Circello</t>
  </si>
  <si>
    <t xml:space="preserve">                          Circello</t>
  </si>
  <si>
    <t xml:space="preserve">                          Molisani</t>
  </si>
  <si>
    <t xml:space="preserve">                        Reynolds</t>
  </si>
  <si>
    <t xml:space="preserve">                              Ploski</t>
  </si>
  <si>
    <t xml:space="preserve">                           Stanton</t>
  </si>
  <si>
    <t xml:space="preserve">                         Spano (FRE)</t>
  </si>
  <si>
    <t xml:space="preserve">                                Stein</t>
  </si>
  <si>
    <t xml:space="preserve">                              Isaacs</t>
  </si>
  <si>
    <t xml:space="preserve">                            Christe</t>
  </si>
  <si>
    <t xml:space="preserve">                        Isaacs (FRE)</t>
  </si>
  <si>
    <t xml:space="preserve">                              Ajello</t>
  </si>
  <si>
    <t xml:space="preserve">                        Ajello (FRE)</t>
  </si>
  <si>
    <t xml:space="preserve">             Stephens, Jr.(FRE)</t>
  </si>
  <si>
    <t xml:space="preserve">                    Wasserman</t>
  </si>
  <si>
    <t xml:space="preserve">             Wasserman (FRE)</t>
  </si>
  <si>
    <t xml:space="preserve">                               Miele</t>
  </si>
  <si>
    <t xml:space="preserve">                                Miele</t>
  </si>
  <si>
    <t xml:space="preserve">                         Miele (FRE)</t>
  </si>
  <si>
    <t xml:space="preserve">                         Mangual</t>
  </si>
  <si>
    <t xml:space="preserve">                    Calhoun (FRE)</t>
  </si>
  <si>
    <t xml:space="preserve">                           Bonacic</t>
  </si>
  <si>
    <t xml:space="preserve">               McGovern, Jr.</t>
  </si>
  <si>
    <t>John J. Bonacic</t>
  </si>
  <si>
    <t xml:space="preserve">                           Cozean</t>
  </si>
  <si>
    <t xml:space="preserve">                        Ruggiero</t>
  </si>
  <si>
    <t xml:space="preserve">                         Miller (FRE)</t>
  </si>
  <si>
    <t xml:space="preserve">                         Donahue</t>
  </si>
  <si>
    <t xml:space="preserve">                   Manning (FRE)</t>
  </si>
  <si>
    <t xml:space="preserve">                                King</t>
  </si>
  <si>
    <t xml:space="preserve">                  D'Andrea (FRE)</t>
  </si>
  <si>
    <t xml:space="preserve">                    Provenzano</t>
  </si>
  <si>
    <t xml:space="preserve">                             Guerin</t>
  </si>
  <si>
    <t xml:space="preserve">                            Guerin</t>
  </si>
  <si>
    <t xml:space="preserve">                             Button</t>
  </si>
  <si>
    <t xml:space="preserve">                              Button</t>
  </si>
  <si>
    <t xml:space="preserve">                          Faso (FRE)</t>
  </si>
  <si>
    <t xml:space="preserve">                                Zaza</t>
  </si>
  <si>
    <t xml:space="preserve">                     Tedisco (FRE)</t>
  </si>
  <si>
    <t xml:space="preserve">                            Schnell</t>
  </si>
  <si>
    <t xml:space="preserve">                            Tebano</t>
  </si>
  <si>
    <t xml:space="preserve">                     Tebano (FRE)</t>
  </si>
  <si>
    <t xml:space="preserve">                        Tonko (PTC)</t>
  </si>
  <si>
    <t xml:space="preserve">                              Miller</t>
  </si>
  <si>
    <t xml:space="preserve">                              Dailey</t>
  </si>
  <si>
    <t xml:space="preserve">                     Prentiss (FRE)</t>
  </si>
  <si>
    <t xml:space="preserve">                    Prentiss (WTP)</t>
  </si>
  <si>
    <t xml:space="preserve">                                 Nish</t>
  </si>
  <si>
    <t xml:space="preserve">                       Casale (FRE)</t>
  </si>
  <si>
    <t xml:space="preserve">                           Little (FRE)</t>
  </si>
  <si>
    <t xml:space="preserve">                        Ortloff (FRE)</t>
  </si>
  <si>
    <t xml:space="preserve">                Carpenter (FRE)</t>
  </si>
  <si>
    <t xml:space="preserve">                             O'Neil</t>
  </si>
  <si>
    <t xml:space="preserve">                       O'Neil (FRE)</t>
  </si>
  <si>
    <t>Chloe Ann R. O'Neil</t>
  </si>
  <si>
    <t xml:space="preserve">                       O'Neil (VRP)</t>
  </si>
  <si>
    <t xml:space="preserve">                         Butler (FRE)</t>
  </si>
  <si>
    <t xml:space="preserve">                    Chavoustle</t>
  </si>
  <si>
    <t xml:space="preserve">                         Nortz (FRE)</t>
  </si>
  <si>
    <t xml:space="preserve">                            Schiavi</t>
  </si>
  <si>
    <t xml:space="preserve">                      Schiavi (IND)</t>
  </si>
  <si>
    <t xml:space="preserve">                            Caruso</t>
  </si>
  <si>
    <t xml:space="preserve">                       Caruso (FRE)</t>
  </si>
  <si>
    <t xml:space="preserve">                          Bowman</t>
  </si>
  <si>
    <t xml:space="preserve">                   Bowman (IND)</t>
  </si>
  <si>
    <t xml:space="preserve">                        Ulatowski</t>
  </si>
  <si>
    <t xml:space="preserve">                  Ulatowski (FRE)</t>
  </si>
  <si>
    <t xml:space="preserve">                    Bragman (VP)</t>
  </si>
  <si>
    <t xml:space="preserve">                   Auffhammer</t>
  </si>
  <si>
    <t xml:space="preserve">            Auffhammer (FRE)</t>
  </si>
  <si>
    <t xml:space="preserve">                                Ryan</t>
  </si>
  <si>
    <t xml:space="preserve">                        Mahoney</t>
  </si>
  <si>
    <t xml:space="preserve">                  Mahoney (FRE)</t>
  </si>
  <si>
    <t>Bernard J. Mahoney</t>
  </si>
  <si>
    <t xml:space="preserve">                    Belletier, Jr.</t>
  </si>
  <si>
    <t xml:space="preserve">                 Brown, Jr. (FRE)</t>
  </si>
  <si>
    <t xml:space="preserve">                   Turecek (SQD)</t>
  </si>
  <si>
    <t xml:space="preserve">                         Dinga (FRE)</t>
  </si>
  <si>
    <t xml:space="preserve">                    Charnetsky</t>
  </si>
  <si>
    <t xml:space="preserve">                     Warner (FRE)</t>
  </si>
  <si>
    <t xml:space="preserve">                                Kone</t>
  </si>
  <si>
    <t xml:space="preserve">                        Smith, Jr.</t>
  </si>
  <si>
    <t xml:space="preserve">               Fessenden (FRE)</t>
  </si>
  <si>
    <t xml:space="preserve">                         Cortland</t>
  </si>
  <si>
    <t xml:space="preserve">                                   List</t>
  </si>
  <si>
    <t xml:space="preserve">                            Pasqua</t>
  </si>
  <si>
    <t xml:space="preserve">                       Doran (FRE)</t>
  </si>
  <si>
    <t xml:space="preserve">                             Brucie</t>
  </si>
  <si>
    <t xml:space="preserve">                    Bacalles (FRE)</t>
  </si>
  <si>
    <t xml:space="preserve">                       Ruhlmann</t>
  </si>
  <si>
    <t xml:space="preserve">                  Ruhlmann (FRE)</t>
  </si>
  <si>
    <t xml:space="preserve">                           Morelle</t>
  </si>
  <si>
    <t xml:space="preserve">                        Rampello</t>
  </si>
  <si>
    <t xml:space="preserve">                          Kearney</t>
  </si>
  <si>
    <t xml:space="preserve">                  Rampello (FRE)</t>
  </si>
  <si>
    <t xml:space="preserve">                               Gantt</t>
  </si>
  <si>
    <t xml:space="preserve">                           Sweney</t>
  </si>
  <si>
    <t xml:space="preserve">                              Quinn</t>
  </si>
  <si>
    <t xml:space="preserve">                           Robach</t>
  </si>
  <si>
    <t xml:space="preserve">                                Koon</t>
  </si>
  <si>
    <t xml:space="preserve">                 De Francisco</t>
  </si>
  <si>
    <t xml:space="preserve">                      Dorscheid</t>
  </si>
  <si>
    <t xml:space="preserve">            De Francisco (FRE)</t>
  </si>
  <si>
    <t xml:space="preserve">                     Johnson (FRE)</t>
  </si>
  <si>
    <t xml:space="preserve">                            Nesbitt</t>
  </si>
  <si>
    <t xml:space="preserve">                      Nesbitt (FRE)</t>
  </si>
  <si>
    <t xml:space="preserve">                          Pillittere</t>
  </si>
  <si>
    <t xml:space="preserve">                                 Daly </t>
  </si>
  <si>
    <t xml:space="preserve">                           Daly (FRE)</t>
  </si>
  <si>
    <t>Joseph T. Pillittere</t>
  </si>
  <si>
    <t xml:space="preserve">                             Corica</t>
  </si>
  <si>
    <t xml:space="preserve">                           Seaman</t>
  </si>
  <si>
    <t xml:space="preserve">                          Seaman</t>
  </si>
  <si>
    <t xml:space="preserve">                      Corica (CFA)</t>
  </si>
  <si>
    <t xml:space="preserve">                     Seaman (FRE)</t>
  </si>
  <si>
    <t xml:space="preserve">                 Schimminger</t>
  </si>
  <si>
    <t xml:space="preserve">                        Millemaci</t>
  </si>
  <si>
    <t xml:space="preserve">                       Millemaci</t>
  </si>
  <si>
    <t xml:space="preserve">                 Millemaci (FRE)</t>
  </si>
  <si>
    <t>Robin Scimminger</t>
  </si>
  <si>
    <t xml:space="preserve">                                  Eve</t>
  </si>
  <si>
    <t xml:space="preserve">                            Peimer</t>
  </si>
  <si>
    <t xml:space="preserve">                        Anderson</t>
  </si>
  <si>
    <t xml:space="preserve">                   Anderson (FRE)</t>
  </si>
  <si>
    <t>Richard R. Anderson</t>
  </si>
  <si>
    <t xml:space="preserve">                            Tokasz</t>
  </si>
  <si>
    <t xml:space="preserve">                            Morton</t>
  </si>
  <si>
    <t xml:space="preserve">                       Morton (FRE)</t>
  </si>
  <si>
    <t xml:space="preserve">                                Hoyt</t>
  </si>
  <si>
    <t xml:space="preserve">                     Mitskovski</t>
  </si>
  <si>
    <t xml:space="preserve">                Mitskovski (FRE)</t>
  </si>
  <si>
    <t xml:space="preserve">                              Keane</t>
  </si>
  <si>
    <t xml:space="preserve">                               Cross</t>
  </si>
  <si>
    <t xml:space="preserve">                             Keane</t>
  </si>
  <si>
    <t xml:space="preserve">                         Cross (FRE)</t>
  </si>
  <si>
    <t>Richard J. Keane</t>
  </si>
  <si>
    <t xml:space="preserve">                               Smith</t>
  </si>
  <si>
    <t xml:space="preserve">                             Mosey</t>
  </si>
  <si>
    <t xml:space="preserve">                              Smith</t>
  </si>
  <si>
    <t xml:space="preserve">                        Mosey (FRE)</t>
  </si>
  <si>
    <t xml:space="preserve">                         Reynolds</t>
  </si>
  <si>
    <t xml:space="preserve">                   Reynolds (FRE)</t>
  </si>
  <si>
    <t>Thomas M. Reynolds</t>
  </si>
  <si>
    <t xml:space="preserve">                               Wirth</t>
  </si>
  <si>
    <t xml:space="preserve">                              Wirth</t>
  </si>
  <si>
    <t xml:space="preserve">                          Wirth (FRE)</t>
  </si>
  <si>
    <t xml:space="preserve">  Sandra Lee Wirth</t>
  </si>
  <si>
    <t xml:space="preserve">                            McGee</t>
  </si>
  <si>
    <t xml:space="preserve">                       McGee (FRE)</t>
  </si>
  <si>
    <t xml:space="preserve"> Patricia K. McGee</t>
  </si>
  <si>
    <t xml:space="preserve">                          Parment</t>
  </si>
  <si>
    <t xml:space="preserve">                           Butcher</t>
  </si>
  <si>
    <t xml:space="preserve">                      Butcher (FRE)</t>
  </si>
  <si>
    <t xml:space="preserve">    CFA — Citizens For Action</t>
  </si>
  <si>
    <t xml:space="preserve">    COM — Communist Party</t>
  </si>
  <si>
    <t xml:space="preserve">    LIV — Long Island Voters for Health Care</t>
  </si>
  <si>
    <t xml:space="preserve">    NEW — New Party</t>
  </si>
  <si>
    <t xml:space="preserve">    PTC — Property Tax Cut</t>
  </si>
  <si>
    <t xml:space="preserve">    SM — Save Medicare</t>
  </si>
  <si>
    <t xml:space="preserve">    SQD — Square Deal</t>
  </si>
  <si>
    <t xml:space="preserve">    TAX — Tax Payers</t>
  </si>
  <si>
    <t xml:space="preserve">    VP — Veterans Party</t>
  </si>
  <si>
    <t xml:space="preserve">    VRP — Voter Rights Party</t>
  </si>
  <si>
    <t xml:space="preserve">    UPA — United Political Alliance</t>
  </si>
  <si>
    <t xml:space="preserve">    WTP — We The People</t>
  </si>
  <si>
    <t>2  Special Election held on November 4, 1997.</t>
  </si>
  <si>
    <t>New York State by Assembly District — November 5, 1996</t>
  </si>
  <si>
    <t>Holst</t>
  </si>
  <si>
    <r>
      <t>Thirteenth</t>
    </r>
    <r>
      <rPr>
        <vertAlign val="superscript"/>
        <sz val="11"/>
        <rFont val="Arial"/>
        <family val="2"/>
      </rPr>
      <t>2</t>
    </r>
  </si>
  <si>
    <t xml:space="preserve">                      Tabone (FRE)</t>
  </si>
  <si>
    <t xml:space="preserve">                      Mugno (FRE)</t>
  </si>
  <si>
    <t xml:space="preserve">                    Petersen (FRE)</t>
  </si>
  <si>
    <t xml:space="preserve">                         James (FRE)</t>
  </si>
  <si>
    <t xml:space="preserve">                    Cuda, Jr. (FRE)</t>
  </si>
  <si>
    <t xml:space="preserve">                      Hartley (FRE)</t>
  </si>
  <si>
    <t xml:space="preserve">                    Williams (FRE)</t>
  </si>
  <si>
    <t xml:space="preserve">                      Maslow (FRE)</t>
  </si>
  <si>
    <t>Abu</t>
  </si>
  <si>
    <t>Cutroneo</t>
  </si>
  <si>
    <t xml:space="preserve">                        Mayer (FRE)</t>
  </si>
  <si>
    <t xml:space="preserve">                   Straniere (FRE)</t>
  </si>
  <si>
    <t xml:space="preserve">                           Fiala (FRE)</t>
  </si>
  <si>
    <t>Spies</t>
  </si>
  <si>
    <t>Stone</t>
  </si>
  <si>
    <t>Maltas</t>
  </si>
  <si>
    <t>Gronowicz</t>
  </si>
  <si>
    <t>Press</t>
  </si>
  <si>
    <t>Valencia</t>
  </si>
  <si>
    <t>Molisani</t>
  </si>
  <si>
    <t>Ragazzo</t>
  </si>
  <si>
    <t>Baumgartner</t>
  </si>
  <si>
    <t>Dailey</t>
  </si>
  <si>
    <t>Graham</t>
  </si>
  <si>
    <t>Corryn</t>
  </si>
  <si>
    <t>Cross</t>
  </si>
  <si>
    <t>Mosey</t>
  </si>
  <si>
    <r>
      <t>Fifth</t>
    </r>
    <r>
      <rPr>
        <vertAlign val="superscript"/>
        <sz val="11"/>
        <rFont val="Arial"/>
        <family val="2"/>
      </rPr>
      <t>2</t>
    </r>
  </si>
  <si>
    <t>Douglas M. Smith</t>
  </si>
  <si>
    <r>
      <t>Tenth</t>
    </r>
    <r>
      <rPr>
        <vertAlign val="superscript"/>
        <sz val="11"/>
        <rFont val="Arial"/>
        <family val="2"/>
      </rPr>
      <t>2</t>
    </r>
  </si>
  <si>
    <t>Smitelli</t>
  </si>
  <si>
    <r>
      <t>Seventeenth</t>
    </r>
    <r>
      <rPr>
        <vertAlign val="superscript"/>
        <sz val="11"/>
        <rFont val="Arial"/>
        <family val="2"/>
      </rPr>
      <t>2</t>
    </r>
  </si>
  <si>
    <r>
      <t>Thirty-Ninth</t>
    </r>
    <r>
      <rPr>
        <vertAlign val="superscript"/>
        <sz val="11"/>
        <rFont val="Arial"/>
        <family val="2"/>
      </rPr>
      <t>2</t>
    </r>
  </si>
  <si>
    <t>Ari Espinal</t>
  </si>
  <si>
    <r>
      <t>Seventy-Fourth</t>
    </r>
    <r>
      <rPr>
        <vertAlign val="superscript"/>
        <sz val="11"/>
        <rFont val="Arial"/>
        <family val="2"/>
      </rPr>
      <t>2</t>
    </r>
  </si>
  <si>
    <t>Craig-Williams</t>
  </si>
  <si>
    <t>Harvey Epstein</t>
  </si>
  <si>
    <r>
      <t>Eightieth</t>
    </r>
    <r>
      <rPr>
        <vertAlign val="superscript"/>
        <sz val="11"/>
        <rFont val="Arial"/>
        <family val="2"/>
      </rPr>
      <t>2</t>
    </r>
  </si>
  <si>
    <t>DeFrancis</t>
  </si>
  <si>
    <r>
      <t>One Hundred Second</t>
    </r>
    <r>
      <rPr>
        <vertAlign val="superscript"/>
        <sz val="11"/>
        <rFont val="Arial"/>
        <family val="2"/>
      </rPr>
      <t>2</t>
    </r>
  </si>
  <si>
    <t>Laraway (BCP)</t>
  </si>
  <si>
    <t xml:space="preserve">    BCP — Best Choice</t>
  </si>
  <si>
    <t xml:space="preserve">    NIP — New Ideas</t>
  </si>
  <si>
    <t xml:space="preserve">    RFM — Reform</t>
  </si>
  <si>
    <t xml:space="preserve">    SDP — Stop de Blasio</t>
  </si>
  <si>
    <t xml:space="preserve">    TRP — Tax Revolt</t>
  </si>
  <si>
    <r>
      <t>One Hundred Seventh</t>
    </r>
    <r>
      <rPr>
        <vertAlign val="superscript"/>
        <sz val="11"/>
        <rFont val="Arial"/>
        <family val="2"/>
      </rPr>
      <t>2</t>
    </r>
  </si>
  <si>
    <t>Doran</t>
  </si>
  <si>
    <r>
      <t>One Hundred Forty-Second</t>
    </r>
    <r>
      <rPr>
        <vertAlign val="superscript"/>
        <sz val="11"/>
        <rFont val="Arial"/>
        <family val="2"/>
      </rPr>
      <t>2</t>
    </r>
  </si>
  <si>
    <t>Erik T. Bohen</t>
  </si>
  <si>
    <t>2  Special election held on April 24, 2018.</t>
  </si>
  <si>
    <r>
      <t>Ninth</t>
    </r>
    <r>
      <rPr>
        <vertAlign val="superscript"/>
        <sz val="11"/>
        <rFont val="Arial"/>
        <family val="2"/>
      </rPr>
      <t>3</t>
    </r>
  </si>
  <si>
    <t>Gargiulo</t>
  </si>
  <si>
    <t>Christine Pellegrino</t>
  </si>
  <si>
    <t>New York State by Assembly District—November 8, 2016</t>
  </si>
  <si>
    <t>New York State by Assembly District—November 6, 2018</t>
  </si>
  <si>
    <t>New York State by Assembly District — November 2,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</si>
</sst>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9">
    <font>
      <sz val="12"/>
      <name val="Rockwell"/>
    </font>
    <font>
      <sz val="12"/>
      <name val="Clearface Regular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vertAlign val="superscript"/>
      <sz val="11"/>
      <name val="Arial"/>
      <family val="2"/>
    </font>
    <font>
      <b/>
      <sz val="16"/>
      <color indexed="8"/>
      <name val="Arial"/>
      <family val="2"/>
    </font>
    <font>
      <u/>
      <sz val="12"/>
      <color theme="10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2">
    <xf numFmtId="37" fontId="0" fillId="2" borderId="0"/>
    <xf numFmtId="37" fontId="8" fillId="2" borderId="0" applyNumberFormat="0" applyFill="0" applyBorder="0" applyAlignment="0" applyProtection="0"/>
  </cellStyleXfs>
  <cellXfs count="58">
    <xf numFmtId="37" fontId="0" fillId="2" borderId="0" xfId="0" applyNumberFormat="1"/>
    <xf numFmtId="37" fontId="1" fillId="2" borderId="0" xfId="0" applyNumberFormat="1" applyFont="1"/>
    <xf numFmtId="3" fontId="1" fillId="2" borderId="0" xfId="0" applyNumberFormat="1" applyFont="1"/>
    <xf numFmtId="37" fontId="2" fillId="2" borderId="0" xfId="0" applyNumberFormat="1" applyFont="1"/>
    <xf numFmtId="3" fontId="2" fillId="2" borderId="0" xfId="0" applyNumberFormat="1" applyFont="1"/>
    <xf numFmtId="37" fontId="3" fillId="2" borderId="0" xfId="0" applyNumberFormat="1" applyFont="1"/>
    <xf numFmtId="37" fontId="4" fillId="2" borderId="0" xfId="0" applyNumberFormat="1" applyFont="1"/>
    <xf numFmtId="37" fontId="5" fillId="2" borderId="0" xfId="0" applyNumberFormat="1" applyFont="1"/>
    <xf numFmtId="5" fontId="3" fillId="2" borderId="0" xfId="0" applyNumberFormat="1" applyFont="1" applyProtection="1">
      <protection locked="0"/>
    </xf>
    <xf numFmtId="5" fontId="4" fillId="2" borderId="0" xfId="0" applyNumberFormat="1" applyFont="1" applyProtection="1">
      <protection locked="0"/>
    </xf>
    <xf numFmtId="37" fontId="3" fillId="2" borderId="0" xfId="0" applyNumberFormat="1" applyFont="1" applyAlignment="1">
      <alignment horizontal="right"/>
    </xf>
    <xf numFmtId="0" fontId="3" fillId="2" borderId="0" xfId="0" applyNumberFormat="1" applyFont="1" applyProtection="1">
      <protection locked="0"/>
    </xf>
    <xf numFmtId="3" fontId="3" fillId="2" borderId="0" xfId="0" applyNumberFormat="1" applyFont="1" applyAlignment="1" applyProtection="1">
      <alignment horizontal="right"/>
      <protection locked="0"/>
    </xf>
    <xf numFmtId="3" fontId="3" fillId="2" borderId="0" xfId="0" applyNumberFormat="1" applyFont="1"/>
    <xf numFmtId="3" fontId="3" fillId="2" borderId="0" xfId="0" applyNumberFormat="1" applyFont="1" applyProtection="1">
      <protection locked="0"/>
    </xf>
    <xf numFmtId="3" fontId="3" fillId="2" borderId="0" xfId="0" applyNumberFormat="1" applyFont="1" applyAlignment="1">
      <alignment horizontal="right"/>
    </xf>
    <xf numFmtId="3" fontId="3" fillId="2" borderId="0" xfId="0" applyNumberFormat="1" applyFont="1" applyBorder="1" applyAlignment="1" applyProtection="1">
      <alignment horizontal="right"/>
      <protection locked="0"/>
    </xf>
    <xf numFmtId="37" fontId="3" fillId="3" borderId="0" xfId="0" applyNumberFormat="1" applyFont="1" applyFill="1"/>
    <xf numFmtId="3" fontId="3" fillId="2" borderId="1" xfId="0" applyNumberFormat="1" applyFont="1" applyBorder="1"/>
    <xf numFmtId="3" fontId="3" fillId="2" borderId="0" xfId="0" applyNumberFormat="1" applyFont="1" applyBorder="1"/>
    <xf numFmtId="3" fontId="3" fillId="0" borderId="0" xfId="0" applyNumberFormat="1" applyFont="1" applyFill="1" applyBorder="1"/>
    <xf numFmtId="3" fontId="3" fillId="0" borderId="0" xfId="0" applyNumberFormat="1" applyFont="1" applyFill="1"/>
    <xf numFmtId="5" fontId="7" fillId="2" borderId="0" xfId="0" applyNumberFormat="1" applyFont="1" applyProtection="1">
      <protection locked="0"/>
    </xf>
    <xf numFmtId="5" fontId="7" fillId="2" borderId="0" xfId="0" quotePrefix="1" applyNumberFormat="1" applyFont="1" applyProtection="1">
      <protection locked="0"/>
    </xf>
    <xf numFmtId="0" fontId="3" fillId="2" borderId="2" xfId="0" applyNumberFormat="1" applyFont="1" applyBorder="1" applyProtection="1">
      <protection locked="0"/>
    </xf>
    <xf numFmtId="0" fontId="3" fillId="2" borderId="2" xfId="0" applyNumberFormat="1" applyFont="1" applyBorder="1" applyAlignment="1" applyProtection="1">
      <alignment horizontal="right"/>
      <protection locked="0"/>
    </xf>
    <xf numFmtId="0" fontId="3" fillId="2" borderId="2" xfId="0" applyNumberFormat="1" applyFont="1" applyBorder="1" applyAlignment="1" applyProtection="1">
      <alignment horizontal="right" wrapText="1"/>
      <protection locked="0"/>
    </xf>
    <xf numFmtId="37" fontId="3" fillId="2" borderId="2" xfId="0" applyNumberFormat="1" applyFont="1" applyBorder="1" applyAlignment="1">
      <alignment horizontal="right" wrapText="1"/>
    </xf>
    <xf numFmtId="0" fontId="3" fillId="4" borderId="0" xfId="0" applyNumberFormat="1" applyFont="1" applyFill="1" applyProtection="1">
      <protection locked="0"/>
    </xf>
    <xf numFmtId="3" fontId="3" fillId="4" borderId="0" xfId="0" applyNumberFormat="1" applyFont="1" applyFill="1" applyAlignment="1">
      <alignment horizontal="right"/>
    </xf>
    <xf numFmtId="3" fontId="3" fillId="4" borderId="0" xfId="0" applyNumberFormat="1" applyFont="1" applyFill="1"/>
    <xf numFmtId="37" fontId="3" fillId="4" borderId="0" xfId="0" applyNumberFormat="1" applyFont="1" applyFill="1"/>
    <xf numFmtId="3" fontId="3" fillId="4" borderId="0" xfId="0" applyNumberFormat="1" applyFont="1" applyFill="1" applyAlignment="1" applyProtection="1">
      <alignment horizontal="right"/>
      <protection locked="0"/>
    </xf>
    <xf numFmtId="3" fontId="3" fillId="4" borderId="0" xfId="0" applyNumberFormat="1" applyFont="1" applyFill="1" applyProtection="1">
      <protection locked="0"/>
    </xf>
    <xf numFmtId="5" fontId="3" fillId="4" borderId="0" xfId="0" applyNumberFormat="1" applyFont="1" applyFill="1" applyProtection="1">
      <protection locked="0"/>
    </xf>
    <xf numFmtId="37" fontId="3" fillId="2" borderId="0" xfId="0" applyNumberFormat="1" applyFont="1" applyBorder="1" applyAlignment="1"/>
    <xf numFmtId="37" fontId="3" fillId="4" borderId="0" xfId="0" applyNumberFormat="1" applyFont="1" applyFill="1" applyAlignment="1">
      <alignment horizontal="right"/>
    </xf>
    <xf numFmtId="0" fontId="3" fillId="2" borderId="0" xfId="0" applyNumberFormat="1" applyFont="1" applyBorder="1" applyAlignment="1" applyProtection="1">
      <alignment horizontal="right"/>
      <protection locked="0"/>
    </xf>
    <xf numFmtId="5" fontId="3" fillId="2" borderId="0" xfId="0" applyNumberFormat="1" applyFont="1" applyAlignment="1" applyProtection="1">
      <alignment horizontal="left"/>
      <protection locked="0"/>
    </xf>
    <xf numFmtId="37" fontId="5" fillId="2" borderId="0" xfId="0" applyNumberFormat="1" applyFont="1" applyAlignment="1">
      <alignment horizontal="left"/>
    </xf>
    <xf numFmtId="37" fontId="3" fillId="2" borderId="0" xfId="0" applyNumberFormat="1" applyFont="1" applyAlignment="1">
      <alignment horizontal="left"/>
    </xf>
    <xf numFmtId="0" fontId="3" fillId="2" borderId="0" xfId="0" applyNumberFormat="1" applyFont="1" applyAlignment="1" applyProtection="1">
      <alignment horizontal="left"/>
      <protection locked="0"/>
    </xf>
    <xf numFmtId="3" fontId="3" fillId="2" borderId="0" xfId="0" applyNumberFormat="1" applyFont="1" applyAlignment="1" applyProtection="1">
      <alignment horizontal="left"/>
      <protection locked="0"/>
    </xf>
    <xf numFmtId="3" fontId="3" fillId="2" borderId="0" xfId="0" applyNumberFormat="1" applyFont="1" applyAlignment="1">
      <alignment horizontal="left"/>
    </xf>
    <xf numFmtId="3" fontId="3" fillId="2" borderId="1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left"/>
    </xf>
    <xf numFmtId="3" fontId="3" fillId="0" borderId="0" xfId="0" applyNumberFormat="1" applyFont="1" applyFill="1" applyAlignment="1">
      <alignment horizontal="left"/>
    </xf>
    <xf numFmtId="5" fontId="7" fillId="2" borderId="0" xfId="0" applyNumberFormat="1" applyFont="1" applyAlignment="1" applyProtection="1">
      <alignment horizontal="left"/>
      <protection locked="0"/>
    </xf>
    <xf numFmtId="0" fontId="3" fillId="2" borderId="2" xfId="0" applyNumberFormat="1" applyFont="1" applyBorder="1" applyAlignment="1" applyProtection="1">
      <alignment horizontal="left"/>
      <protection locked="0"/>
    </xf>
    <xf numFmtId="0" fontId="3" fillId="4" borderId="0" xfId="0" applyNumberFormat="1" applyFont="1" applyFill="1" applyAlignment="1" applyProtection="1">
      <alignment horizontal="left"/>
      <protection locked="0"/>
    </xf>
    <xf numFmtId="37" fontId="3" fillId="4" borderId="0" xfId="0" applyNumberFormat="1" applyFont="1" applyFill="1" applyAlignment="1">
      <alignment horizontal="left"/>
    </xf>
    <xf numFmtId="5" fontId="3" fillId="4" borderId="0" xfId="0" applyNumberFormat="1" applyFont="1" applyFill="1" applyAlignment="1" applyProtection="1">
      <alignment horizontal="left"/>
      <protection locked="0"/>
    </xf>
    <xf numFmtId="3" fontId="3" fillId="4" borderId="0" xfId="0" applyNumberFormat="1" applyFont="1" applyFill="1" applyAlignment="1" applyProtection="1">
      <alignment horizontal="left"/>
      <protection locked="0"/>
    </xf>
    <xf numFmtId="3" fontId="3" fillId="4" borderId="0" xfId="0" applyNumberFormat="1" applyFont="1" applyFill="1" applyAlignment="1">
      <alignment horizontal="left"/>
    </xf>
    <xf numFmtId="3" fontId="3" fillId="2" borderId="3" xfId="0" applyNumberFormat="1" applyFont="1" applyBorder="1"/>
    <xf numFmtId="37" fontId="3" fillId="2" borderId="0" xfId="0" applyNumberFormat="1" applyFont="1" applyBorder="1" applyAlignment="1">
      <alignment horizontal="center"/>
    </xf>
    <xf numFmtId="3" fontId="8" fillId="2" borderId="0" xfId="1" applyNumberFormat="1"/>
    <xf numFmtId="3" fontId="8" fillId="2" borderId="0" xfId="1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lections.ny.gov/2021ElectionResults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lections.ny.gov/2021ElectionResults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elections.ny.gov/2021ElectionResults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elections.ny.gov/2021ElectionResult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lections.ny.gov/2021ElectionResult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lections.ny.gov/2021ElectionResult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lections.ny.gov/2021ElectionResult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lections.ny.gov/2021ElectionResult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lections.ny.gov/2021ElectionResult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lections.ny.gov/2021ElectionResults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lections.ny.gov/2021ElectionResult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lections.ny.gov/2021ElectionResul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0"/>
  <sheetViews>
    <sheetView tabSelected="1" workbookViewId="0"/>
  </sheetViews>
  <sheetFormatPr defaultColWidth="15.77734375" defaultRowHeight="15.75"/>
  <cols>
    <col min="1" max="1" width="25.77734375" customWidth="1"/>
    <col min="13" max="13" width="26.77734375" customWidth="1"/>
  </cols>
  <sheetData>
    <row r="1" spans="1:14" ht="20.25">
      <c r="A1" s="22" t="s">
        <v>0</v>
      </c>
      <c r="B1" s="8"/>
      <c r="C1" s="8"/>
      <c r="D1" s="8"/>
      <c r="E1" s="8"/>
      <c r="F1" s="9"/>
      <c r="G1" s="9"/>
      <c r="H1" s="9"/>
      <c r="I1" s="9"/>
      <c r="J1" s="9"/>
      <c r="K1" s="7"/>
      <c r="L1" s="5"/>
      <c r="M1" s="5"/>
      <c r="N1" s="5"/>
    </row>
    <row r="2" spans="1:14" ht="20.25">
      <c r="A2" s="23" t="s">
        <v>2885</v>
      </c>
      <c r="B2" s="8"/>
      <c r="C2" s="8"/>
      <c r="D2" s="5"/>
      <c r="E2" s="5"/>
      <c r="F2" s="5"/>
      <c r="G2" s="5"/>
      <c r="H2" s="5"/>
      <c r="I2" s="5"/>
      <c r="J2" s="5"/>
      <c r="K2" s="6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6" t="s">
        <v>583</v>
      </c>
      <c r="H4" s="26" t="s">
        <v>584</v>
      </c>
      <c r="I4" s="26" t="s">
        <v>585</v>
      </c>
      <c r="J4" s="26" t="s">
        <v>586</v>
      </c>
      <c r="K4" s="25" t="s">
        <v>580</v>
      </c>
      <c r="L4" s="27" t="s">
        <v>582</v>
      </c>
      <c r="M4" s="25" t="s">
        <v>2</v>
      </c>
      <c r="N4" s="5"/>
    </row>
    <row r="5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11" t="s">
        <v>3</v>
      </c>
      <c r="B6" s="12" t="s">
        <v>216</v>
      </c>
      <c r="C6" s="12" t="s">
        <v>599</v>
      </c>
      <c r="D6" s="12" t="s">
        <v>216</v>
      </c>
      <c r="E6" s="12" t="s">
        <v>599</v>
      </c>
      <c r="F6" s="12" t="s">
        <v>216</v>
      </c>
      <c r="G6" s="12" t="s">
        <v>216</v>
      </c>
      <c r="H6" s="12" t="s">
        <v>216</v>
      </c>
      <c r="I6" s="12"/>
      <c r="J6" s="12"/>
      <c r="K6" s="12"/>
      <c r="L6" s="13">
        <f>1649+18+9</f>
        <v>1676</v>
      </c>
      <c r="M6" s="12" t="s">
        <v>11</v>
      </c>
      <c r="N6" s="13">
        <f>SUM(B6:L7)</f>
        <v>58520</v>
      </c>
    </row>
    <row r="7" spans="1:14">
      <c r="A7" s="5"/>
      <c r="B7" s="13">
        <v>31961</v>
      </c>
      <c r="C7" s="13">
        <v>19953</v>
      </c>
      <c r="D7" s="13">
        <v>1493</v>
      </c>
      <c r="E7" s="13">
        <v>2135</v>
      </c>
      <c r="F7" s="13">
        <v>872</v>
      </c>
      <c r="G7" s="13">
        <v>333</v>
      </c>
      <c r="H7" s="13">
        <v>97</v>
      </c>
      <c r="I7" s="13"/>
      <c r="J7" s="13"/>
      <c r="K7" s="13"/>
      <c r="L7" s="13"/>
      <c r="M7" s="14"/>
      <c r="N7" s="13"/>
    </row>
    <row r="8" spans="1:14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28" t="s">
        <v>10</v>
      </c>
      <c r="B9" s="29" t="s">
        <v>587</v>
      </c>
      <c r="C9" s="29" t="s">
        <v>392</v>
      </c>
      <c r="D9" s="29" t="s">
        <v>392</v>
      </c>
      <c r="E9" s="29" t="s">
        <v>392</v>
      </c>
      <c r="F9" s="29"/>
      <c r="G9" s="29"/>
      <c r="H9" s="29"/>
      <c r="I9" s="29"/>
      <c r="J9" s="29"/>
      <c r="K9" s="29"/>
      <c r="L9" s="30">
        <f>1884+10+13</f>
        <v>1907</v>
      </c>
      <c r="M9" s="29" t="s">
        <v>393</v>
      </c>
      <c r="N9" s="13">
        <f>SUM(B9:L10)</f>
        <v>54682</v>
      </c>
    </row>
    <row r="10" spans="1:14">
      <c r="A10" s="31"/>
      <c r="B10" s="30">
        <v>21533</v>
      </c>
      <c r="C10" s="30">
        <v>26760</v>
      </c>
      <c r="D10" s="30">
        <v>1043</v>
      </c>
      <c r="E10" s="30">
        <v>3439</v>
      </c>
      <c r="F10" s="30"/>
      <c r="G10" s="30"/>
      <c r="H10" s="30"/>
      <c r="I10" s="30"/>
      <c r="J10" s="30"/>
      <c r="K10" s="30"/>
      <c r="L10" s="30"/>
      <c r="M10" s="30"/>
      <c r="N10" s="13"/>
    </row>
    <row r="11" spans="1:14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1" t="s">
        <v>16</v>
      </c>
      <c r="B12" s="12" t="s">
        <v>600</v>
      </c>
      <c r="C12" s="12" t="s">
        <v>601</v>
      </c>
      <c r="D12" s="12" t="s">
        <v>601</v>
      </c>
      <c r="E12" s="12" t="s">
        <v>601</v>
      </c>
      <c r="F12" s="12"/>
      <c r="G12" s="12"/>
      <c r="H12" s="12" t="s">
        <v>601</v>
      </c>
      <c r="I12" s="12"/>
      <c r="J12" s="12"/>
      <c r="K12" s="12"/>
      <c r="L12" s="13">
        <f>1988+12+8</f>
        <v>2008</v>
      </c>
      <c r="M12" s="12" t="s">
        <v>602</v>
      </c>
      <c r="N12" s="13">
        <f>SUM(B12:L13)</f>
        <v>40746</v>
      </c>
    </row>
    <row r="13" spans="1:14">
      <c r="A13" s="5"/>
      <c r="B13" s="13">
        <v>17822</v>
      </c>
      <c r="C13" s="13">
        <v>18068</v>
      </c>
      <c r="D13" s="13">
        <v>645</v>
      </c>
      <c r="E13" s="13">
        <v>2099</v>
      </c>
      <c r="F13" s="13"/>
      <c r="G13" s="13"/>
      <c r="H13" s="13">
        <v>104</v>
      </c>
      <c r="I13" s="13"/>
      <c r="J13" s="13"/>
      <c r="K13" s="13"/>
      <c r="L13" s="13"/>
      <c r="M13" s="14"/>
      <c r="N13" s="13"/>
    </row>
    <row r="14" spans="1:14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28" t="s">
        <v>26</v>
      </c>
      <c r="B15" s="32" t="s">
        <v>187</v>
      </c>
      <c r="C15" s="32" t="s">
        <v>603</v>
      </c>
      <c r="D15" s="32" t="s">
        <v>198</v>
      </c>
      <c r="E15" s="32" t="s">
        <v>603</v>
      </c>
      <c r="F15" s="32" t="s">
        <v>198</v>
      </c>
      <c r="G15" s="32" t="s">
        <v>198</v>
      </c>
      <c r="H15" s="32"/>
      <c r="I15" s="32"/>
      <c r="J15" s="32"/>
      <c r="K15" s="32"/>
      <c r="L15" s="30">
        <f>1552+32+7</f>
        <v>1591</v>
      </c>
      <c r="M15" s="32" t="s">
        <v>27</v>
      </c>
      <c r="N15" s="13">
        <f>SUM(B15:L16)</f>
        <v>47343</v>
      </c>
    </row>
    <row r="16" spans="1:14">
      <c r="A16" s="31"/>
      <c r="B16" s="30">
        <v>26009</v>
      </c>
      <c r="C16" s="30">
        <v>15828</v>
      </c>
      <c r="D16" s="30">
        <v>772</v>
      </c>
      <c r="E16" s="32">
        <v>2191</v>
      </c>
      <c r="F16" s="32">
        <v>641</v>
      </c>
      <c r="G16" s="32">
        <v>311</v>
      </c>
      <c r="H16" s="32"/>
      <c r="I16" s="32"/>
      <c r="J16" s="32"/>
      <c r="K16" s="30"/>
      <c r="L16" s="30"/>
      <c r="M16" s="33"/>
      <c r="N16" s="13"/>
    </row>
    <row r="17" spans="1:14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1" t="s">
        <v>40</v>
      </c>
      <c r="B18" s="12" t="s">
        <v>604</v>
      </c>
      <c r="C18" s="12" t="s">
        <v>587</v>
      </c>
      <c r="D18" s="12" t="s">
        <v>587</v>
      </c>
      <c r="E18" s="12" t="s">
        <v>587</v>
      </c>
      <c r="F18" s="12"/>
      <c r="G18" s="12"/>
      <c r="H18" s="12" t="s">
        <v>587</v>
      </c>
      <c r="I18" s="12"/>
      <c r="J18" s="12"/>
      <c r="K18" s="12"/>
      <c r="L18" s="13">
        <f>2001+10+13</f>
        <v>2024</v>
      </c>
      <c r="M18" s="12" t="s">
        <v>605</v>
      </c>
      <c r="N18" s="13">
        <f>SUM(B18:L19)</f>
        <v>44767</v>
      </c>
    </row>
    <row r="19" spans="1:14">
      <c r="A19" s="5"/>
      <c r="B19" s="13">
        <v>17668</v>
      </c>
      <c r="C19" s="13">
        <v>21745</v>
      </c>
      <c r="D19" s="13">
        <v>653</v>
      </c>
      <c r="E19" s="13">
        <v>2551</v>
      </c>
      <c r="F19" s="13"/>
      <c r="G19" s="13"/>
      <c r="H19" s="13">
        <v>126</v>
      </c>
      <c r="I19" s="13"/>
      <c r="J19" s="13"/>
      <c r="K19" s="13"/>
      <c r="L19" s="13"/>
      <c r="M19" s="14"/>
      <c r="N19" s="13"/>
    </row>
    <row r="20" spans="1:14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28" t="s">
        <v>52</v>
      </c>
      <c r="B21" s="32" t="s">
        <v>217</v>
      </c>
      <c r="C21" s="32"/>
      <c r="D21" s="32" t="s">
        <v>217</v>
      </c>
      <c r="E21" s="32"/>
      <c r="F21" s="32" t="s">
        <v>217</v>
      </c>
      <c r="G21" s="32" t="s">
        <v>217</v>
      </c>
      <c r="H21" s="32" t="s">
        <v>217</v>
      </c>
      <c r="I21" s="32"/>
      <c r="J21" s="32"/>
      <c r="K21" s="29"/>
      <c r="L21" s="30">
        <f>5272+83</f>
        <v>5355</v>
      </c>
      <c r="M21" s="32" t="s">
        <v>218</v>
      </c>
      <c r="N21" s="13">
        <f>SUM(B21:L22)</f>
        <v>26927</v>
      </c>
    </row>
    <row r="22" spans="1:14">
      <c r="A22" s="31"/>
      <c r="B22" s="30">
        <v>20027</v>
      </c>
      <c r="C22" s="30"/>
      <c r="D22" s="30">
        <v>516</v>
      </c>
      <c r="E22" s="30"/>
      <c r="F22" s="30">
        <v>732</v>
      </c>
      <c r="G22" s="30">
        <v>188</v>
      </c>
      <c r="H22" s="30">
        <v>109</v>
      </c>
      <c r="I22" s="30"/>
      <c r="J22" s="30"/>
      <c r="K22" s="30"/>
      <c r="L22" s="30"/>
      <c r="M22" s="33"/>
      <c r="N22" s="13"/>
    </row>
    <row r="23" spans="1:14">
      <c r="A23" s="5"/>
      <c r="B23" s="16"/>
      <c r="C23" s="16"/>
      <c r="D23" s="16"/>
      <c r="E23" s="16"/>
      <c r="F23" s="16"/>
      <c r="G23" s="16"/>
      <c r="H23" s="16"/>
      <c r="I23" s="16"/>
      <c r="J23" s="16"/>
      <c r="K23" s="13"/>
      <c r="L23" s="13"/>
      <c r="M23" s="13"/>
      <c r="N23" s="13"/>
    </row>
    <row r="24" spans="1:14">
      <c r="A24" s="11" t="s">
        <v>59</v>
      </c>
      <c r="B24" s="12" t="s">
        <v>606</v>
      </c>
      <c r="C24" s="12" t="s">
        <v>331</v>
      </c>
      <c r="D24" s="12" t="s">
        <v>331</v>
      </c>
      <c r="E24" s="12" t="s">
        <v>331</v>
      </c>
      <c r="F24" s="12"/>
      <c r="G24" s="12" t="s">
        <v>331</v>
      </c>
      <c r="H24" s="12" t="s">
        <v>331</v>
      </c>
      <c r="I24" s="12"/>
      <c r="J24" s="12"/>
      <c r="K24" s="12"/>
      <c r="L24" s="13">
        <f>1645+14+13</f>
        <v>1672</v>
      </c>
      <c r="M24" s="12" t="s">
        <v>332</v>
      </c>
      <c r="N24" s="13">
        <f>SUM(B24:L25)</f>
        <v>51199</v>
      </c>
    </row>
    <row r="25" spans="1:14">
      <c r="A25" s="5"/>
      <c r="B25" s="13">
        <v>20452</v>
      </c>
      <c r="C25" s="13">
        <v>24552</v>
      </c>
      <c r="D25" s="13">
        <v>813</v>
      </c>
      <c r="E25" s="13">
        <v>3257</v>
      </c>
      <c r="F25" s="13"/>
      <c r="G25" s="13">
        <v>348</v>
      </c>
      <c r="H25" s="13">
        <v>105</v>
      </c>
      <c r="I25" s="13"/>
      <c r="J25" s="13"/>
      <c r="K25" s="13"/>
      <c r="L25" s="13"/>
      <c r="M25" s="14"/>
      <c r="N25" s="13"/>
    </row>
    <row r="26" spans="1:14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28" t="s">
        <v>64</v>
      </c>
      <c r="B27" s="32" t="s">
        <v>607</v>
      </c>
      <c r="C27" s="32" t="s">
        <v>219</v>
      </c>
      <c r="D27" s="32" t="s">
        <v>219</v>
      </c>
      <c r="E27" s="32" t="s">
        <v>219</v>
      </c>
      <c r="F27" s="32"/>
      <c r="G27" s="32"/>
      <c r="H27" s="32" t="s">
        <v>219</v>
      </c>
      <c r="I27" s="32"/>
      <c r="J27" s="32"/>
      <c r="K27" s="32"/>
      <c r="L27" s="30">
        <f>2067+5+2</f>
        <v>2074</v>
      </c>
      <c r="M27" s="32" t="s">
        <v>220</v>
      </c>
      <c r="N27" s="13">
        <f>SUM(B27:L28)</f>
        <v>54490</v>
      </c>
    </row>
    <row r="28" spans="1:14">
      <c r="A28" s="31"/>
      <c r="B28" s="30">
        <v>20459</v>
      </c>
      <c r="C28" s="30">
        <v>27789</v>
      </c>
      <c r="D28" s="30">
        <v>749</v>
      </c>
      <c r="E28" s="30">
        <v>3311</v>
      </c>
      <c r="F28" s="30"/>
      <c r="G28" s="30"/>
      <c r="H28" s="30">
        <v>108</v>
      </c>
      <c r="I28" s="30"/>
      <c r="J28" s="30"/>
      <c r="K28" s="30"/>
      <c r="L28" s="30"/>
      <c r="M28" s="33"/>
      <c r="N28" s="13"/>
    </row>
    <row r="29" spans="1:14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1" t="s">
        <v>73</v>
      </c>
      <c r="B30" s="12" t="s">
        <v>608</v>
      </c>
      <c r="C30" s="12" t="s">
        <v>609</v>
      </c>
      <c r="D30" s="12" t="s">
        <v>608</v>
      </c>
      <c r="E30" s="12" t="s">
        <v>609</v>
      </c>
      <c r="F30" s="12" t="s">
        <v>608</v>
      </c>
      <c r="G30" s="12" t="s">
        <v>608</v>
      </c>
      <c r="H30" s="12" t="s">
        <v>609</v>
      </c>
      <c r="I30" s="12"/>
      <c r="J30" s="12"/>
      <c r="K30" s="15"/>
      <c r="L30" s="13">
        <f>1356+21+6</f>
        <v>1383</v>
      </c>
      <c r="M30" s="12" t="s">
        <v>610</v>
      </c>
      <c r="N30" s="13">
        <f>SUM(B30:L31)</f>
        <v>52301</v>
      </c>
    </row>
    <row r="31" spans="1:14">
      <c r="A31" s="5"/>
      <c r="B31" s="13">
        <v>21091</v>
      </c>
      <c r="C31" s="13">
        <v>25612</v>
      </c>
      <c r="D31" s="13">
        <v>547</v>
      </c>
      <c r="E31" s="13">
        <v>2701</v>
      </c>
      <c r="F31" s="13">
        <v>523</v>
      </c>
      <c r="G31" s="13">
        <v>275</v>
      </c>
      <c r="H31" s="13">
        <v>169</v>
      </c>
      <c r="I31" s="13"/>
      <c r="J31" s="13"/>
      <c r="K31" s="13"/>
      <c r="L31" s="13"/>
      <c r="M31" s="14"/>
      <c r="N31" s="13"/>
    </row>
    <row r="32" spans="1:14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28" t="s">
        <v>80</v>
      </c>
      <c r="B33" s="32" t="s">
        <v>611</v>
      </c>
      <c r="C33" s="32" t="s">
        <v>407</v>
      </c>
      <c r="D33" s="32" t="s">
        <v>611</v>
      </c>
      <c r="E33" s="32" t="s">
        <v>407</v>
      </c>
      <c r="F33" s="32" t="s">
        <v>611</v>
      </c>
      <c r="G33" s="32" t="s">
        <v>611</v>
      </c>
      <c r="H33" s="32"/>
      <c r="I33" s="32"/>
      <c r="J33" s="32"/>
      <c r="K33" s="32"/>
      <c r="L33" s="30">
        <f>1385+11+6</f>
        <v>1402</v>
      </c>
      <c r="M33" s="32" t="s">
        <v>612</v>
      </c>
      <c r="N33" s="13">
        <f>SUM(B33:L34)</f>
        <v>49096</v>
      </c>
    </row>
    <row r="34" spans="1:14">
      <c r="A34" s="31"/>
      <c r="B34" s="30">
        <v>26935</v>
      </c>
      <c r="C34" s="30">
        <v>17129</v>
      </c>
      <c r="D34" s="30">
        <v>699</v>
      </c>
      <c r="E34" s="30">
        <v>2006</v>
      </c>
      <c r="F34" s="30">
        <v>613</v>
      </c>
      <c r="G34" s="30">
        <v>312</v>
      </c>
      <c r="H34" s="30"/>
      <c r="I34" s="30"/>
      <c r="J34" s="30"/>
      <c r="K34" s="30"/>
      <c r="L34" s="30"/>
      <c r="M34" s="33"/>
      <c r="N34" s="13"/>
    </row>
    <row r="35" spans="1:14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1" t="s">
        <v>83</v>
      </c>
      <c r="B36" s="12" t="s">
        <v>402</v>
      </c>
      <c r="C36" s="12" t="s">
        <v>613</v>
      </c>
      <c r="D36" s="12" t="s">
        <v>402</v>
      </c>
      <c r="E36" s="15" t="s">
        <v>613</v>
      </c>
      <c r="F36" s="12" t="s">
        <v>402</v>
      </c>
      <c r="G36" s="12" t="s">
        <v>402</v>
      </c>
      <c r="H36" s="12"/>
      <c r="I36" s="12"/>
      <c r="J36" s="12"/>
      <c r="K36" s="12"/>
      <c r="L36" s="13">
        <f>1437+8+3</f>
        <v>1448</v>
      </c>
      <c r="M36" s="12" t="s">
        <v>403</v>
      </c>
      <c r="N36" s="13">
        <f>SUM(B36:L37)</f>
        <v>37939</v>
      </c>
    </row>
    <row r="37" spans="1:14">
      <c r="A37" s="5"/>
      <c r="B37" s="13">
        <v>22274</v>
      </c>
      <c r="C37" s="13">
        <v>11631</v>
      </c>
      <c r="D37" s="13">
        <v>455</v>
      </c>
      <c r="E37" s="13">
        <v>1375</v>
      </c>
      <c r="F37" s="13">
        <v>528</v>
      </c>
      <c r="G37" s="13">
        <v>228</v>
      </c>
      <c r="H37" s="13"/>
      <c r="I37" s="13"/>
      <c r="J37" s="13"/>
      <c r="K37" s="13"/>
      <c r="L37" s="13"/>
      <c r="M37" s="14"/>
      <c r="N37" s="13"/>
    </row>
    <row r="38" spans="1:14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28" t="s">
        <v>91</v>
      </c>
      <c r="B39" s="32" t="s">
        <v>614</v>
      </c>
      <c r="C39" s="32" t="s">
        <v>238</v>
      </c>
      <c r="D39" s="32" t="s">
        <v>238</v>
      </c>
      <c r="E39" s="32" t="s">
        <v>238</v>
      </c>
      <c r="F39" s="32"/>
      <c r="G39" s="32"/>
      <c r="H39" s="32" t="s">
        <v>238</v>
      </c>
      <c r="I39" s="32"/>
      <c r="J39" s="32"/>
      <c r="K39" s="32"/>
      <c r="L39" s="30">
        <f>1670+8+8</f>
        <v>1686</v>
      </c>
      <c r="M39" s="32" t="s">
        <v>239</v>
      </c>
      <c r="N39" s="13">
        <f>SUM(B39:L40)</f>
        <v>51955</v>
      </c>
    </row>
    <row r="40" spans="1:14">
      <c r="A40" s="31"/>
      <c r="B40" s="30">
        <v>22416</v>
      </c>
      <c r="C40" s="30">
        <v>23868</v>
      </c>
      <c r="D40" s="30">
        <v>949</v>
      </c>
      <c r="E40" s="30">
        <v>2896</v>
      </c>
      <c r="F40" s="30"/>
      <c r="G40" s="30"/>
      <c r="H40" s="30">
        <v>140</v>
      </c>
      <c r="I40" s="30"/>
      <c r="J40" s="30"/>
      <c r="K40" s="30"/>
      <c r="L40" s="30"/>
      <c r="M40" s="33"/>
      <c r="N40" s="13"/>
    </row>
    <row r="41" spans="1:14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1" t="s">
        <v>94</v>
      </c>
      <c r="B42" s="12" t="s">
        <v>244</v>
      </c>
      <c r="C42" s="12" t="s">
        <v>615</v>
      </c>
      <c r="D42" s="12"/>
      <c r="E42" s="12" t="s">
        <v>615</v>
      </c>
      <c r="F42" s="12" t="s">
        <v>244</v>
      </c>
      <c r="G42" s="12" t="s">
        <v>244</v>
      </c>
      <c r="H42" s="12" t="s">
        <v>244</v>
      </c>
      <c r="I42" s="12"/>
      <c r="J42" s="12"/>
      <c r="K42" s="15"/>
      <c r="L42" s="13">
        <f>1381+17+14</f>
        <v>1412</v>
      </c>
      <c r="M42" s="12" t="s">
        <v>245</v>
      </c>
      <c r="N42" s="13">
        <f>SUM(B42:L43)</f>
        <v>47818</v>
      </c>
    </row>
    <row r="43" spans="1:14">
      <c r="A43" s="5"/>
      <c r="B43" s="13">
        <v>30699</v>
      </c>
      <c r="C43" s="13">
        <v>13451</v>
      </c>
      <c r="D43" s="13"/>
      <c r="E43" s="13">
        <v>1353</v>
      </c>
      <c r="F43" s="13">
        <v>497</v>
      </c>
      <c r="G43" s="13">
        <v>316</v>
      </c>
      <c r="H43" s="13">
        <v>90</v>
      </c>
      <c r="I43" s="13"/>
      <c r="J43" s="13"/>
      <c r="K43" s="13"/>
      <c r="L43" s="13"/>
      <c r="M43" s="14"/>
      <c r="N43" s="13"/>
    </row>
    <row r="44" spans="1:14">
      <c r="A44" s="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28" t="s">
        <v>104</v>
      </c>
      <c r="B45" s="32" t="s">
        <v>461</v>
      </c>
      <c r="C45" s="32" t="s">
        <v>213</v>
      </c>
      <c r="D45" s="32" t="s">
        <v>213</v>
      </c>
      <c r="E45" s="32" t="s">
        <v>213</v>
      </c>
      <c r="F45" s="32" t="s">
        <v>461</v>
      </c>
      <c r="G45" s="32" t="s">
        <v>461</v>
      </c>
      <c r="H45" s="32" t="s">
        <v>213</v>
      </c>
      <c r="I45" s="32"/>
      <c r="J45" s="32"/>
      <c r="K45" s="29" t="s">
        <v>293</v>
      </c>
      <c r="L45" s="30">
        <f>1539+24+25</f>
        <v>1588</v>
      </c>
      <c r="M45" s="32" t="s">
        <v>214</v>
      </c>
      <c r="N45" s="13">
        <f>SUM(B45:L46)</f>
        <v>56328</v>
      </c>
    </row>
    <row r="46" spans="1:14">
      <c r="A46" s="31"/>
      <c r="B46" s="30">
        <v>23210</v>
      </c>
      <c r="C46" s="30">
        <v>27287</v>
      </c>
      <c r="D46" s="30">
        <v>452</v>
      </c>
      <c r="E46" s="30">
        <v>2722</v>
      </c>
      <c r="F46" s="30">
        <v>531</v>
      </c>
      <c r="G46" s="30">
        <v>326</v>
      </c>
      <c r="H46" s="30">
        <v>76</v>
      </c>
      <c r="I46" s="30"/>
      <c r="J46" s="30"/>
      <c r="K46" s="29">
        <v>136</v>
      </c>
      <c r="L46" s="30"/>
      <c r="M46" s="33"/>
      <c r="N46" s="13"/>
    </row>
    <row r="47" spans="1:14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>
      <c r="A48" s="11" t="s">
        <v>110</v>
      </c>
      <c r="B48" s="12" t="s">
        <v>616</v>
      </c>
      <c r="C48" s="12" t="s">
        <v>291</v>
      </c>
      <c r="D48" s="12" t="s">
        <v>291</v>
      </c>
      <c r="E48" s="12" t="s">
        <v>291</v>
      </c>
      <c r="F48" s="12" t="s">
        <v>616</v>
      </c>
      <c r="G48" s="12" t="s">
        <v>616</v>
      </c>
      <c r="H48" s="12" t="s">
        <v>291</v>
      </c>
      <c r="I48" s="12"/>
      <c r="J48" s="12"/>
      <c r="K48" s="15"/>
      <c r="L48" s="13">
        <f>1433+23+9</f>
        <v>1465</v>
      </c>
      <c r="M48" s="12" t="s">
        <v>292</v>
      </c>
      <c r="N48" s="13">
        <f>SUM(B48:L49)</f>
        <v>48819</v>
      </c>
    </row>
    <row r="49" spans="1:14">
      <c r="A49" s="5"/>
      <c r="B49" s="13">
        <v>21673</v>
      </c>
      <c r="C49" s="13">
        <v>22022</v>
      </c>
      <c r="D49" s="13">
        <v>412</v>
      </c>
      <c r="E49" s="13">
        <v>2357</v>
      </c>
      <c r="F49" s="13">
        <v>462</v>
      </c>
      <c r="G49" s="13">
        <v>317</v>
      </c>
      <c r="H49" s="13">
        <v>111</v>
      </c>
      <c r="I49" s="13"/>
      <c r="J49" s="13"/>
      <c r="K49" s="13"/>
      <c r="L49" s="13"/>
      <c r="M49" s="14"/>
      <c r="N49" s="13"/>
    </row>
    <row r="50" spans="1:14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3"/>
      <c r="M50" s="13"/>
      <c r="N50" s="13"/>
    </row>
    <row r="51" spans="1:14">
      <c r="A51" s="28" t="s">
        <v>114</v>
      </c>
      <c r="B51" s="32" t="s">
        <v>464</v>
      </c>
      <c r="C51" s="32" t="s">
        <v>617</v>
      </c>
      <c r="D51" s="32" t="s">
        <v>464</v>
      </c>
      <c r="E51" s="32" t="s">
        <v>617</v>
      </c>
      <c r="F51" s="32" t="s">
        <v>464</v>
      </c>
      <c r="G51" s="32" t="s">
        <v>464</v>
      </c>
      <c r="H51" s="32" t="s">
        <v>465</v>
      </c>
      <c r="I51" s="32"/>
      <c r="J51" s="32"/>
      <c r="K51" s="29"/>
      <c r="L51" s="30">
        <f>1621+18+14</f>
        <v>1653</v>
      </c>
      <c r="M51" s="32" t="s">
        <v>466</v>
      </c>
      <c r="N51" s="13">
        <f>SUM(B51:L52)</f>
        <v>49866</v>
      </c>
    </row>
    <row r="52" spans="1:14">
      <c r="A52" s="31"/>
      <c r="B52" s="30">
        <v>28913</v>
      </c>
      <c r="C52" s="30">
        <v>16749</v>
      </c>
      <c r="D52" s="30">
        <v>383</v>
      </c>
      <c r="E52" s="30">
        <v>1313</v>
      </c>
      <c r="F52" s="30">
        <v>521</v>
      </c>
      <c r="G52" s="30">
        <v>259</v>
      </c>
      <c r="H52" s="30">
        <v>75</v>
      </c>
      <c r="I52" s="30"/>
      <c r="J52" s="30"/>
      <c r="K52" s="30"/>
      <c r="L52" s="30"/>
      <c r="M52" s="33"/>
      <c r="N52" s="13"/>
    </row>
    <row r="53" spans="1:14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>
      <c r="A54" s="11" t="s">
        <v>128</v>
      </c>
      <c r="B54" s="12" t="s">
        <v>618</v>
      </c>
      <c r="C54" s="12" t="s">
        <v>619</v>
      </c>
      <c r="D54" s="12" t="s">
        <v>619</v>
      </c>
      <c r="E54" s="12" t="s">
        <v>619</v>
      </c>
      <c r="F54" s="12"/>
      <c r="G54" s="12" t="s">
        <v>618</v>
      </c>
      <c r="H54" s="12" t="s">
        <v>619</v>
      </c>
      <c r="I54" s="12"/>
      <c r="J54" s="12"/>
      <c r="K54" s="15" t="s">
        <v>620</v>
      </c>
      <c r="L54" s="13">
        <f>1738+11+18</f>
        <v>1767</v>
      </c>
      <c r="M54" s="12" t="s">
        <v>621</v>
      </c>
      <c r="N54" s="13">
        <f>SUM(B54:L55)</f>
        <v>49558</v>
      </c>
    </row>
    <row r="55" spans="1:14">
      <c r="A55" s="5"/>
      <c r="B55" s="13">
        <v>20602</v>
      </c>
      <c r="C55" s="13">
        <v>23670</v>
      </c>
      <c r="D55" s="13">
        <v>396</v>
      </c>
      <c r="E55" s="13">
        <v>2504</v>
      </c>
      <c r="F55" s="13"/>
      <c r="G55" s="13">
        <v>445</v>
      </c>
      <c r="H55" s="13">
        <v>75</v>
      </c>
      <c r="I55" s="13"/>
      <c r="J55" s="13"/>
      <c r="K55" s="13">
        <v>99</v>
      </c>
      <c r="L55" s="13"/>
      <c r="M55" s="14"/>
      <c r="N55" s="13"/>
    </row>
    <row r="56" spans="1:14">
      <c r="A56" s="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>
      <c r="A57" s="28" t="s">
        <v>133</v>
      </c>
      <c r="B57" s="32" t="s">
        <v>622</v>
      </c>
      <c r="C57" s="32" t="s">
        <v>623</v>
      </c>
      <c r="D57" s="32"/>
      <c r="E57" s="32" t="s">
        <v>623</v>
      </c>
      <c r="F57" s="32" t="s">
        <v>622</v>
      </c>
      <c r="G57" s="32" t="s">
        <v>622</v>
      </c>
      <c r="H57" s="32" t="s">
        <v>622</v>
      </c>
      <c r="I57" s="32"/>
      <c r="J57" s="32"/>
      <c r="K57" s="32"/>
      <c r="L57" s="30">
        <f>1571+101+1569</f>
        <v>3241</v>
      </c>
      <c r="M57" s="32" t="s">
        <v>624</v>
      </c>
      <c r="N57" s="13">
        <f>SUM(B57:L58)</f>
        <v>36511</v>
      </c>
    </row>
    <row r="58" spans="1:14">
      <c r="A58" s="31"/>
      <c r="B58" s="30">
        <v>29362</v>
      </c>
      <c r="C58" s="30">
        <v>2893</v>
      </c>
      <c r="D58" s="30"/>
      <c r="E58" s="30">
        <v>388</v>
      </c>
      <c r="F58" s="30">
        <v>379</v>
      </c>
      <c r="G58" s="30">
        <v>200</v>
      </c>
      <c r="H58" s="30">
        <v>48</v>
      </c>
      <c r="I58" s="30"/>
      <c r="J58" s="30"/>
      <c r="K58" s="30"/>
      <c r="L58" s="30"/>
      <c r="M58" s="33"/>
      <c r="N58" s="13"/>
    </row>
    <row r="59" spans="1:14">
      <c r="A59" s="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>
      <c r="A60" s="11" t="s">
        <v>138</v>
      </c>
      <c r="B60" s="12" t="s">
        <v>625</v>
      </c>
      <c r="C60" s="12" t="s">
        <v>294</v>
      </c>
      <c r="D60" s="12" t="s">
        <v>294</v>
      </c>
      <c r="E60" s="12" t="s">
        <v>294</v>
      </c>
      <c r="F60" s="12" t="s">
        <v>625</v>
      </c>
      <c r="G60" s="12" t="s">
        <v>625</v>
      </c>
      <c r="H60" s="12" t="s">
        <v>294</v>
      </c>
      <c r="I60" s="12"/>
      <c r="J60" s="12"/>
      <c r="K60" s="12"/>
      <c r="L60" s="13">
        <f>1501+12+14</f>
        <v>1527</v>
      </c>
      <c r="M60" s="12" t="s">
        <v>296</v>
      </c>
      <c r="N60" s="13">
        <f>SUM(B60:L61)</f>
        <v>48876</v>
      </c>
    </row>
    <row r="61" spans="1:14">
      <c r="A61" s="5"/>
      <c r="B61" s="13">
        <v>20349</v>
      </c>
      <c r="C61" s="13">
        <v>23362</v>
      </c>
      <c r="D61" s="13">
        <v>348</v>
      </c>
      <c r="E61" s="13">
        <v>2455</v>
      </c>
      <c r="F61" s="13">
        <v>456</v>
      </c>
      <c r="G61" s="13">
        <v>278</v>
      </c>
      <c r="H61" s="13">
        <v>101</v>
      </c>
      <c r="I61" s="13"/>
      <c r="J61" s="13"/>
      <c r="K61" s="13"/>
      <c r="L61" s="13"/>
      <c r="M61" s="14"/>
      <c r="N61" s="13"/>
    </row>
    <row r="62" spans="1:14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>
      <c r="A63" s="28" t="s">
        <v>141</v>
      </c>
      <c r="B63" s="32" t="s">
        <v>626</v>
      </c>
      <c r="C63" s="32" t="s">
        <v>231</v>
      </c>
      <c r="D63" s="32" t="s">
        <v>231</v>
      </c>
      <c r="E63" s="32" t="s">
        <v>231</v>
      </c>
      <c r="F63" s="32"/>
      <c r="G63" s="32" t="s">
        <v>627</v>
      </c>
      <c r="H63" s="32" t="s">
        <v>627</v>
      </c>
      <c r="I63" s="32"/>
      <c r="J63" s="32"/>
      <c r="K63" s="29"/>
      <c r="L63" s="30">
        <f>1361+44+12</f>
        <v>1417</v>
      </c>
      <c r="M63" s="32" t="s">
        <v>472</v>
      </c>
      <c r="N63" s="13">
        <f>SUM(B63:L64)</f>
        <v>47491</v>
      </c>
    </row>
    <row r="64" spans="1:14">
      <c r="A64" s="31"/>
      <c r="B64" s="30">
        <v>21111</v>
      </c>
      <c r="C64" s="30">
        <v>22200</v>
      </c>
      <c r="D64" s="30">
        <v>500</v>
      </c>
      <c r="E64" s="30">
        <v>1755</v>
      </c>
      <c r="F64" s="30"/>
      <c r="G64" s="30">
        <v>372</v>
      </c>
      <c r="H64" s="30">
        <v>136</v>
      </c>
      <c r="I64" s="30"/>
      <c r="J64" s="30"/>
      <c r="K64" s="29"/>
      <c r="L64" s="30"/>
      <c r="M64" s="33"/>
      <c r="N64" s="13"/>
    </row>
    <row r="65" spans="1:14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>
      <c r="A66" s="11" t="s">
        <v>147</v>
      </c>
      <c r="B66" s="12" t="s">
        <v>628</v>
      </c>
      <c r="C66" s="12" t="s">
        <v>289</v>
      </c>
      <c r="D66" s="12" t="s">
        <v>289</v>
      </c>
      <c r="E66" s="12" t="s">
        <v>289</v>
      </c>
      <c r="F66" s="12" t="s">
        <v>628</v>
      </c>
      <c r="G66" s="12" t="s">
        <v>628</v>
      </c>
      <c r="H66" s="12" t="s">
        <v>628</v>
      </c>
      <c r="I66" s="12"/>
      <c r="J66" s="12"/>
      <c r="K66" s="15"/>
      <c r="L66" s="13">
        <f>1301+25+55</f>
        <v>1381</v>
      </c>
      <c r="M66" s="12" t="s">
        <v>629</v>
      </c>
      <c r="N66" s="13">
        <f>SUM(B66:L67)</f>
        <v>53049</v>
      </c>
    </row>
    <row r="67" spans="1:14">
      <c r="A67" s="5"/>
      <c r="B67" s="13">
        <v>26516</v>
      </c>
      <c r="C67" s="13">
        <v>21448</v>
      </c>
      <c r="D67" s="13">
        <v>499</v>
      </c>
      <c r="E67" s="13">
        <v>2289</v>
      </c>
      <c r="F67" s="13">
        <v>500</v>
      </c>
      <c r="G67" s="13">
        <v>360</v>
      </c>
      <c r="H67" s="13">
        <v>56</v>
      </c>
      <c r="I67" s="13"/>
      <c r="J67" s="13"/>
      <c r="K67" s="13"/>
      <c r="L67" s="13"/>
      <c r="M67" s="14"/>
      <c r="N67" s="13"/>
    </row>
    <row r="68" spans="1:14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>
      <c r="A69" s="34" t="s">
        <v>152</v>
      </c>
      <c r="B69" s="32" t="s">
        <v>337</v>
      </c>
      <c r="C69" s="32" t="s">
        <v>630</v>
      </c>
      <c r="D69" s="32" t="s">
        <v>337</v>
      </c>
      <c r="E69" s="32" t="s">
        <v>630</v>
      </c>
      <c r="F69" s="32" t="s">
        <v>337</v>
      </c>
      <c r="G69" s="32" t="s">
        <v>337</v>
      </c>
      <c r="H69" s="32" t="s">
        <v>337</v>
      </c>
      <c r="I69" s="32"/>
      <c r="J69" s="32"/>
      <c r="K69" s="32"/>
      <c r="L69" s="30">
        <f>1308+12+18</f>
        <v>1338</v>
      </c>
      <c r="M69" s="32" t="s">
        <v>338</v>
      </c>
      <c r="N69" s="13">
        <f>SUM(B69:L70)</f>
        <v>46846</v>
      </c>
    </row>
    <row r="70" spans="1:14">
      <c r="A70" s="31"/>
      <c r="B70" s="30">
        <v>30625</v>
      </c>
      <c r="C70" s="30">
        <v>12377</v>
      </c>
      <c r="D70" s="30">
        <v>375</v>
      </c>
      <c r="E70" s="30">
        <v>1350</v>
      </c>
      <c r="F70" s="30">
        <v>506</v>
      </c>
      <c r="G70" s="30">
        <v>219</v>
      </c>
      <c r="H70" s="30">
        <v>56</v>
      </c>
      <c r="I70" s="30"/>
      <c r="J70" s="30"/>
      <c r="K70" s="30"/>
      <c r="L70" s="30"/>
      <c r="M70" s="33"/>
      <c r="N70" s="13"/>
    </row>
    <row r="71" spans="1:14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>
      <c r="A72" s="11" t="s">
        <v>156</v>
      </c>
      <c r="B72" s="12" t="s">
        <v>477</v>
      </c>
      <c r="C72" s="12" t="s">
        <v>631</v>
      </c>
      <c r="D72" s="12" t="s">
        <v>477</v>
      </c>
      <c r="E72" s="12"/>
      <c r="F72" s="12" t="s">
        <v>477</v>
      </c>
      <c r="G72" s="12"/>
      <c r="H72" s="12"/>
      <c r="I72" s="12"/>
      <c r="J72" s="12"/>
      <c r="K72" s="15"/>
      <c r="L72" s="13">
        <f>1538+17</f>
        <v>1555</v>
      </c>
      <c r="M72" s="12" t="s">
        <v>480</v>
      </c>
      <c r="N72" s="13">
        <f>SUM(B72:L73)</f>
        <v>31143</v>
      </c>
    </row>
    <row r="73" spans="1:14">
      <c r="A73" s="5"/>
      <c r="B73" s="13">
        <v>18916</v>
      </c>
      <c r="C73" s="13">
        <v>9431</v>
      </c>
      <c r="D73" s="13">
        <v>512</v>
      </c>
      <c r="E73" s="13"/>
      <c r="F73" s="13">
        <v>729</v>
      </c>
      <c r="G73" s="13"/>
      <c r="H73" s="13"/>
      <c r="I73" s="13"/>
      <c r="J73" s="13"/>
      <c r="K73" s="13"/>
      <c r="L73" s="13"/>
      <c r="M73" s="14"/>
      <c r="N73" s="13"/>
    </row>
    <row r="74" spans="1:14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>
      <c r="A75" s="34" t="s">
        <v>163</v>
      </c>
      <c r="B75" s="32" t="s">
        <v>164</v>
      </c>
      <c r="C75" s="32"/>
      <c r="D75" s="32"/>
      <c r="E75" s="32"/>
      <c r="F75" s="32"/>
      <c r="G75" s="32"/>
      <c r="H75" s="32"/>
      <c r="I75" s="32"/>
      <c r="J75" s="32"/>
      <c r="K75" s="29"/>
      <c r="L75" s="30">
        <f>4536+148</f>
        <v>4684</v>
      </c>
      <c r="M75" s="32" t="s">
        <v>297</v>
      </c>
      <c r="N75" s="13">
        <f>SUM(B75:L76)</f>
        <v>27094</v>
      </c>
    </row>
    <row r="76" spans="1:14">
      <c r="A76" s="31"/>
      <c r="B76" s="30">
        <v>22410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3"/>
      <c r="N76" s="13"/>
    </row>
    <row r="77" spans="1:14">
      <c r="A77" s="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>
      <c r="A78" s="11" t="s">
        <v>168</v>
      </c>
      <c r="B78" s="12" t="s">
        <v>339</v>
      </c>
      <c r="C78" s="12"/>
      <c r="D78" s="12"/>
      <c r="E78" s="12"/>
      <c r="F78" s="12" t="s">
        <v>339</v>
      </c>
      <c r="G78" s="12" t="s">
        <v>339</v>
      </c>
      <c r="H78" s="12"/>
      <c r="I78" s="12"/>
      <c r="J78" s="12"/>
      <c r="K78" s="15"/>
      <c r="L78" s="13">
        <f>5236+143</f>
        <v>5379</v>
      </c>
      <c r="M78" s="12" t="s">
        <v>340</v>
      </c>
      <c r="N78" s="13">
        <f>SUM(B78:L79)</f>
        <v>23690</v>
      </c>
    </row>
    <row r="79" spans="1:14">
      <c r="A79" s="5"/>
      <c r="B79" s="13">
        <v>16368</v>
      </c>
      <c r="C79" s="13"/>
      <c r="D79" s="13"/>
      <c r="E79" s="13"/>
      <c r="F79" s="13">
        <v>1396</v>
      </c>
      <c r="G79" s="13">
        <v>547</v>
      </c>
      <c r="H79" s="13"/>
      <c r="I79" s="13"/>
      <c r="J79" s="13"/>
      <c r="K79" s="13"/>
      <c r="L79" s="13"/>
      <c r="M79" s="14"/>
      <c r="N79" s="13"/>
    </row>
    <row r="80" spans="1:14">
      <c r="A80" s="5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>
      <c r="A81" s="28" t="s">
        <v>174</v>
      </c>
      <c r="B81" s="32" t="s">
        <v>298</v>
      </c>
      <c r="C81" s="32" t="s">
        <v>632</v>
      </c>
      <c r="D81" s="32" t="s">
        <v>298</v>
      </c>
      <c r="E81" s="32" t="s">
        <v>632</v>
      </c>
      <c r="F81" s="32" t="s">
        <v>298</v>
      </c>
      <c r="G81" s="32" t="s">
        <v>298</v>
      </c>
      <c r="H81" s="32" t="s">
        <v>632</v>
      </c>
      <c r="I81" s="32"/>
      <c r="J81" s="32"/>
      <c r="K81" s="32"/>
      <c r="L81" s="30">
        <f>1749+18</f>
        <v>1767</v>
      </c>
      <c r="M81" s="32" t="s">
        <v>299</v>
      </c>
      <c r="N81" s="13">
        <f>SUM(B81:L82)</f>
        <v>35258</v>
      </c>
    </row>
    <row r="82" spans="1:14">
      <c r="A82" s="31"/>
      <c r="B82" s="30">
        <v>20325</v>
      </c>
      <c r="C82" s="30">
        <v>10495</v>
      </c>
      <c r="D82" s="30">
        <v>727</v>
      </c>
      <c r="E82" s="30">
        <v>1055</v>
      </c>
      <c r="F82" s="30">
        <v>656</v>
      </c>
      <c r="G82" s="30">
        <v>152</v>
      </c>
      <c r="H82" s="30">
        <v>81</v>
      </c>
      <c r="I82" s="30"/>
      <c r="J82" s="30"/>
      <c r="K82" s="30"/>
      <c r="L82" s="30"/>
      <c r="M82" s="33"/>
      <c r="N82" s="13"/>
    </row>
    <row r="83" spans="1:14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13"/>
    </row>
    <row r="84" spans="1:14">
      <c r="A84" s="8" t="s">
        <v>176</v>
      </c>
      <c r="B84" s="12" t="s">
        <v>263</v>
      </c>
      <c r="C84" s="12"/>
      <c r="D84" s="12"/>
      <c r="E84" s="12"/>
      <c r="F84" s="12" t="s">
        <v>263</v>
      </c>
      <c r="G84" s="12"/>
      <c r="H84" s="12"/>
      <c r="I84" s="12"/>
      <c r="J84" s="12"/>
      <c r="K84" s="15"/>
      <c r="L84" s="13">
        <f>5357+162</f>
        <v>5519</v>
      </c>
      <c r="M84" s="12" t="s">
        <v>633</v>
      </c>
      <c r="N84" s="5">
        <f>SUM(B84:L85)</f>
        <v>26618</v>
      </c>
    </row>
    <row r="85" spans="1:14">
      <c r="A85" s="5"/>
      <c r="B85" s="13">
        <v>19305</v>
      </c>
      <c r="C85" s="13"/>
      <c r="D85" s="13"/>
      <c r="E85" s="13"/>
      <c r="F85" s="13">
        <v>1794</v>
      </c>
      <c r="G85" s="13"/>
      <c r="H85" s="13"/>
      <c r="I85" s="13"/>
      <c r="J85" s="13"/>
      <c r="K85" s="13"/>
      <c r="L85" s="13"/>
      <c r="M85" s="14"/>
      <c r="N85" s="5"/>
    </row>
    <row r="86" spans="1:14">
      <c r="A86" s="5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/>
      <c r="N86" s="5"/>
    </row>
    <row r="87" spans="1:14">
      <c r="A87" s="34" t="s">
        <v>179</v>
      </c>
      <c r="B87" s="29" t="s">
        <v>256</v>
      </c>
      <c r="C87" s="29" t="s">
        <v>634</v>
      </c>
      <c r="D87" s="29"/>
      <c r="E87" s="29"/>
      <c r="F87" s="29" t="s">
        <v>256</v>
      </c>
      <c r="G87" s="29"/>
      <c r="H87" s="29" t="s">
        <v>634</v>
      </c>
      <c r="I87" s="29"/>
      <c r="J87" s="29"/>
      <c r="K87" s="29" t="s">
        <v>635</v>
      </c>
      <c r="L87" s="30">
        <f>1442+51</f>
        <v>1493</v>
      </c>
      <c r="M87" s="29" t="s">
        <v>257</v>
      </c>
      <c r="N87" s="5">
        <f>SUM(B87:L88)</f>
        <v>33883</v>
      </c>
    </row>
    <row r="88" spans="1:14">
      <c r="A88" s="31"/>
      <c r="B88" s="30">
        <v>22374</v>
      </c>
      <c r="C88" s="30">
        <v>8441</v>
      </c>
      <c r="D88" s="30"/>
      <c r="E88" s="30"/>
      <c r="F88" s="30">
        <v>1328</v>
      </c>
      <c r="G88" s="30"/>
      <c r="H88" s="30">
        <v>141</v>
      </c>
      <c r="I88" s="30"/>
      <c r="J88" s="30"/>
      <c r="K88" s="30">
        <v>106</v>
      </c>
      <c r="L88" s="30"/>
      <c r="M88" s="30"/>
      <c r="N88" s="5"/>
    </row>
    <row r="89" spans="1:14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5"/>
    </row>
    <row r="90" spans="1:14">
      <c r="A90" s="11" t="s">
        <v>181</v>
      </c>
      <c r="B90" s="12" t="s">
        <v>483</v>
      </c>
      <c r="C90" s="12"/>
      <c r="D90" s="12"/>
      <c r="E90" s="12"/>
      <c r="F90" s="12" t="s">
        <v>483</v>
      </c>
      <c r="G90" s="12"/>
      <c r="H90" s="12"/>
      <c r="I90" s="12"/>
      <c r="J90" s="12"/>
      <c r="K90" s="15"/>
      <c r="L90" s="13">
        <f>2252+36</f>
        <v>2288</v>
      </c>
      <c r="M90" s="15" t="s">
        <v>484</v>
      </c>
      <c r="N90" s="5">
        <f>SUM(B90:L91)</f>
        <v>35225</v>
      </c>
    </row>
    <row r="91" spans="1:14">
      <c r="A91" s="5"/>
      <c r="B91" s="13">
        <v>32352</v>
      </c>
      <c r="C91" s="13"/>
      <c r="D91" s="13"/>
      <c r="E91" s="13"/>
      <c r="F91" s="13">
        <v>585</v>
      </c>
      <c r="G91" s="13"/>
      <c r="H91" s="13"/>
      <c r="I91" s="13"/>
      <c r="J91" s="13"/>
      <c r="K91" s="13"/>
      <c r="L91" s="13"/>
      <c r="M91" s="13"/>
      <c r="N91" s="5"/>
    </row>
    <row r="92" spans="1:14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>
      <c r="A93" s="33" t="s">
        <v>4</v>
      </c>
      <c r="B93" s="32" t="s">
        <v>485</v>
      </c>
      <c r="C93" s="32" t="s">
        <v>636</v>
      </c>
      <c r="D93" s="32"/>
      <c r="E93" s="32" t="s">
        <v>636</v>
      </c>
      <c r="F93" s="32"/>
      <c r="G93" s="32"/>
      <c r="H93" s="32" t="s">
        <v>636</v>
      </c>
      <c r="I93" s="32"/>
      <c r="J93" s="32"/>
      <c r="K93" s="32"/>
      <c r="L93" s="30">
        <f>1433+53</f>
        <v>1486</v>
      </c>
      <c r="M93" s="32" t="s">
        <v>637</v>
      </c>
      <c r="N93" s="5">
        <f>SUM(B93:L94)</f>
        <v>29212</v>
      </c>
    </row>
    <row r="94" spans="1:14">
      <c r="A94" s="30"/>
      <c r="B94" s="30">
        <v>21082</v>
      </c>
      <c r="C94" s="30">
        <v>5828</v>
      </c>
      <c r="D94" s="30"/>
      <c r="E94" s="30">
        <v>661</v>
      </c>
      <c r="F94" s="30"/>
      <c r="G94" s="30"/>
      <c r="H94" s="30">
        <v>155</v>
      </c>
      <c r="I94" s="30"/>
      <c r="J94" s="30"/>
      <c r="K94" s="30"/>
      <c r="L94" s="30"/>
      <c r="M94" s="33"/>
      <c r="N94" s="5"/>
    </row>
    <row r="95" spans="1:1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5"/>
    </row>
    <row r="96" spans="1:14">
      <c r="A96" s="14" t="s">
        <v>12</v>
      </c>
      <c r="B96" s="12" t="s">
        <v>223</v>
      </c>
      <c r="C96" s="12"/>
      <c r="D96" s="12"/>
      <c r="E96" s="12"/>
      <c r="F96" s="12" t="s">
        <v>223</v>
      </c>
      <c r="G96" s="12"/>
      <c r="H96" s="12"/>
      <c r="I96" s="12"/>
      <c r="J96" s="12"/>
      <c r="K96" s="12"/>
      <c r="L96" s="13">
        <f>2376+82</f>
        <v>2458</v>
      </c>
      <c r="M96" s="12" t="s">
        <v>282</v>
      </c>
      <c r="N96" s="5">
        <f>SUM(B96:L97)</f>
        <v>25732</v>
      </c>
    </row>
    <row r="97" spans="1:14">
      <c r="A97" s="13"/>
      <c r="B97" s="13">
        <v>22738</v>
      </c>
      <c r="C97" s="13"/>
      <c r="D97" s="13"/>
      <c r="E97" s="13"/>
      <c r="F97" s="13">
        <v>536</v>
      </c>
      <c r="G97" s="13"/>
      <c r="H97" s="13"/>
      <c r="I97" s="13"/>
      <c r="J97" s="13"/>
      <c r="K97" s="13"/>
      <c r="L97" s="13"/>
      <c r="M97" s="14"/>
      <c r="N97" s="5"/>
    </row>
    <row r="98" spans="1:1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5"/>
    </row>
    <row r="99" spans="1:14">
      <c r="A99" s="33" t="s">
        <v>19</v>
      </c>
      <c r="B99" s="32" t="s">
        <v>20</v>
      </c>
      <c r="C99" s="32"/>
      <c r="D99" s="32"/>
      <c r="E99" s="32"/>
      <c r="F99" s="32"/>
      <c r="G99" s="32"/>
      <c r="H99" s="32"/>
      <c r="I99" s="32"/>
      <c r="J99" s="32"/>
      <c r="K99" s="32"/>
      <c r="L99" s="30">
        <f>2111+52</f>
        <v>2163</v>
      </c>
      <c r="M99" s="32" t="s">
        <v>21</v>
      </c>
      <c r="N99" s="5">
        <f>SUM(B99:L100)</f>
        <v>32154</v>
      </c>
    </row>
    <row r="100" spans="1:14">
      <c r="A100" s="30"/>
      <c r="B100" s="30">
        <v>29991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3"/>
      <c r="N100" s="5"/>
    </row>
    <row r="101" spans="1:1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5"/>
    </row>
    <row r="102" spans="1:14">
      <c r="A102" s="14" t="s">
        <v>30</v>
      </c>
      <c r="B102" s="12" t="s">
        <v>488</v>
      </c>
      <c r="C102" s="12" t="s">
        <v>638</v>
      </c>
      <c r="D102" s="12"/>
      <c r="E102" s="12" t="s">
        <v>638</v>
      </c>
      <c r="F102" s="12" t="s">
        <v>488</v>
      </c>
      <c r="G102" s="12"/>
      <c r="H102" s="12" t="s">
        <v>638</v>
      </c>
      <c r="I102" s="12"/>
      <c r="J102" s="12"/>
      <c r="K102" s="12"/>
      <c r="L102" s="13">
        <f>1539+35</f>
        <v>1574</v>
      </c>
      <c r="M102" s="12" t="s">
        <v>491</v>
      </c>
      <c r="N102" s="5">
        <f>SUM(B102:L103)</f>
        <v>37197</v>
      </c>
    </row>
    <row r="103" spans="1:14">
      <c r="A103" s="13"/>
      <c r="B103" s="13">
        <v>32009</v>
      </c>
      <c r="C103" s="13">
        <v>2527</v>
      </c>
      <c r="D103" s="13"/>
      <c r="E103" s="13">
        <v>353</v>
      </c>
      <c r="F103" s="13">
        <v>649</v>
      </c>
      <c r="G103" s="13"/>
      <c r="H103" s="13">
        <v>85</v>
      </c>
      <c r="I103" s="13"/>
      <c r="J103" s="13"/>
      <c r="K103" s="14"/>
      <c r="L103" s="13"/>
      <c r="M103" s="14"/>
      <c r="N103" s="5"/>
    </row>
    <row r="104" spans="1:1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5"/>
    </row>
    <row r="105" spans="1:14">
      <c r="A105" s="33" t="s">
        <v>34</v>
      </c>
      <c r="B105" s="32" t="s">
        <v>273</v>
      </c>
      <c r="C105" s="32"/>
      <c r="D105" s="32"/>
      <c r="E105" s="32"/>
      <c r="F105" s="32"/>
      <c r="G105" s="32"/>
      <c r="H105" s="32"/>
      <c r="I105" s="32"/>
      <c r="J105" s="32"/>
      <c r="K105" s="32"/>
      <c r="L105" s="30">
        <f>4271+148</f>
        <v>4419</v>
      </c>
      <c r="M105" s="32" t="s">
        <v>274</v>
      </c>
      <c r="N105" s="5">
        <f>SUM(B105:L106)</f>
        <v>22497</v>
      </c>
    </row>
    <row r="106" spans="1:14">
      <c r="A106" s="30"/>
      <c r="B106" s="30">
        <v>18078</v>
      </c>
      <c r="C106" s="30"/>
      <c r="D106" s="30"/>
      <c r="E106" s="30"/>
      <c r="F106" s="30"/>
      <c r="G106" s="30"/>
      <c r="H106" s="30"/>
      <c r="I106" s="30"/>
      <c r="J106" s="30"/>
      <c r="K106" s="33"/>
      <c r="L106" s="30"/>
      <c r="M106" s="33"/>
      <c r="N106" s="5"/>
    </row>
    <row r="107" spans="1:1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5"/>
    </row>
    <row r="108" spans="1:14">
      <c r="A108" s="14" t="s">
        <v>41</v>
      </c>
      <c r="B108" s="12" t="s">
        <v>42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3">
        <f>3288+100</f>
        <v>3388</v>
      </c>
      <c r="M108" s="12" t="s">
        <v>43</v>
      </c>
      <c r="N108" s="5">
        <f>SUM(B108:L109)</f>
        <v>19768</v>
      </c>
    </row>
    <row r="109" spans="1:14">
      <c r="A109" s="13"/>
      <c r="B109" s="13">
        <v>16380</v>
      </c>
      <c r="C109" s="13"/>
      <c r="D109" s="13"/>
      <c r="E109" s="13"/>
      <c r="F109" s="13"/>
      <c r="G109" s="13"/>
      <c r="H109" s="13"/>
      <c r="I109" s="13"/>
      <c r="J109" s="13"/>
      <c r="K109" s="14"/>
      <c r="L109" s="13"/>
      <c r="M109" s="14"/>
      <c r="N109" s="5"/>
    </row>
    <row r="110" spans="1:1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5"/>
    </row>
    <row r="111" spans="1:14">
      <c r="A111" s="33" t="s">
        <v>47</v>
      </c>
      <c r="B111" s="32" t="s">
        <v>300</v>
      </c>
      <c r="C111" s="32"/>
      <c r="D111" s="32"/>
      <c r="E111" s="32"/>
      <c r="F111" s="32" t="s">
        <v>300</v>
      </c>
      <c r="G111" s="32"/>
      <c r="H111" s="32"/>
      <c r="I111" s="32"/>
      <c r="J111" s="32"/>
      <c r="K111" s="32"/>
      <c r="L111" s="30">
        <f>4887+197</f>
        <v>5084</v>
      </c>
      <c r="M111" s="32" t="s">
        <v>301</v>
      </c>
      <c r="N111" s="5">
        <f>SUM(B111:L112)</f>
        <v>35028</v>
      </c>
    </row>
    <row r="112" spans="1:14">
      <c r="A112" s="30"/>
      <c r="B112" s="30">
        <v>27364</v>
      </c>
      <c r="C112" s="30"/>
      <c r="D112" s="30"/>
      <c r="E112" s="30"/>
      <c r="F112" s="30">
        <v>2580</v>
      </c>
      <c r="G112" s="30"/>
      <c r="H112" s="30"/>
      <c r="I112" s="30"/>
      <c r="J112" s="30"/>
      <c r="K112" s="30"/>
      <c r="L112" s="30"/>
      <c r="M112" s="33"/>
      <c r="N112" s="5"/>
    </row>
    <row r="113" spans="1:1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5"/>
    </row>
    <row r="114" spans="1:14">
      <c r="A114" s="14" t="s">
        <v>53</v>
      </c>
      <c r="B114" s="12" t="s">
        <v>54</v>
      </c>
      <c r="C114" s="12"/>
      <c r="D114" s="12"/>
      <c r="E114" s="12"/>
      <c r="F114" s="12" t="s">
        <v>302</v>
      </c>
      <c r="G114" s="12"/>
      <c r="H114" s="12"/>
      <c r="I114" s="12"/>
      <c r="J114" s="12"/>
      <c r="K114" s="15"/>
      <c r="L114" s="13">
        <f>3968+195</f>
        <v>4163</v>
      </c>
      <c r="M114" s="12" t="s">
        <v>55</v>
      </c>
      <c r="N114" s="5">
        <f>SUM(B114:L115)</f>
        <v>33198</v>
      </c>
    </row>
    <row r="115" spans="1:14">
      <c r="A115" s="13"/>
      <c r="B115" s="13">
        <v>26494</v>
      </c>
      <c r="C115" s="13"/>
      <c r="D115" s="13"/>
      <c r="E115" s="13"/>
      <c r="F115" s="13">
        <v>2541</v>
      </c>
      <c r="G115" s="13"/>
      <c r="H115" s="13"/>
      <c r="I115" s="13"/>
      <c r="J115" s="13"/>
      <c r="K115" s="13"/>
      <c r="L115" s="13"/>
      <c r="M115" s="14"/>
      <c r="N115" s="5"/>
    </row>
    <row r="116" spans="1:1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5"/>
    </row>
    <row r="117" spans="1:14">
      <c r="A117" s="33" t="s">
        <v>61</v>
      </c>
      <c r="B117" s="32" t="s">
        <v>231</v>
      </c>
      <c r="C117" s="32"/>
      <c r="D117" s="32"/>
      <c r="E117" s="32" t="s">
        <v>231</v>
      </c>
      <c r="F117" s="32"/>
      <c r="G117" s="32"/>
      <c r="H117" s="32"/>
      <c r="I117" s="32"/>
      <c r="J117" s="32"/>
      <c r="K117" s="32"/>
      <c r="L117" s="30">
        <f>3089+78</f>
        <v>3167</v>
      </c>
      <c r="M117" s="32" t="s">
        <v>303</v>
      </c>
      <c r="N117" s="5">
        <f>SUM(B117:L118)</f>
        <v>22008</v>
      </c>
    </row>
    <row r="118" spans="1:14">
      <c r="A118" s="30"/>
      <c r="B118" s="30">
        <v>16913</v>
      </c>
      <c r="C118" s="30"/>
      <c r="D118" s="30"/>
      <c r="E118" s="30">
        <v>1928</v>
      </c>
      <c r="F118" s="30"/>
      <c r="G118" s="30"/>
      <c r="H118" s="30"/>
      <c r="I118" s="30"/>
      <c r="J118" s="30"/>
      <c r="K118" s="30"/>
      <c r="L118" s="30"/>
      <c r="M118" s="33"/>
      <c r="N118" s="5"/>
    </row>
    <row r="119" spans="1:1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5"/>
    </row>
    <row r="120" spans="1:14">
      <c r="A120" s="14" t="s">
        <v>65</v>
      </c>
      <c r="B120" s="12" t="s">
        <v>639</v>
      </c>
      <c r="C120" s="12"/>
      <c r="D120" s="12"/>
      <c r="E120" s="12"/>
      <c r="F120" s="12" t="s">
        <v>640</v>
      </c>
      <c r="G120" s="12" t="s">
        <v>640</v>
      </c>
      <c r="H120" s="12" t="s">
        <v>641</v>
      </c>
      <c r="I120" s="12"/>
      <c r="J120" s="12"/>
      <c r="K120" s="12"/>
      <c r="L120" s="13">
        <f>2086+37</f>
        <v>2123</v>
      </c>
      <c r="M120" s="12" t="s">
        <v>642</v>
      </c>
      <c r="N120" s="5">
        <f>SUM(B120:L121)</f>
        <v>17202</v>
      </c>
    </row>
    <row r="121" spans="1:14">
      <c r="A121" s="13"/>
      <c r="B121" s="13">
        <v>13238</v>
      </c>
      <c r="C121" s="13"/>
      <c r="D121" s="13"/>
      <c r="E121" s="13"/>
      <c r="F121" s="13">
        <v>1321</v>
      </c>
      <c r="G121" s="13">
        <v>258</v>
      </c>
      <c r="H121" s="13">
        <v>262</v>
      </c>
      <c r="I121" s="13"/>
      <c r="J121" s="13"/>
      <c r="K121" s="14"/>
      <c r="L121" s="13"/>
      <c r="M121" s="14"/>
      <c r="N121" s="5"/>
    </row>
    <row r="122" spans="1:1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5"/>
    </row>
    <row r="123" spans="1:14">
      <c r="A123" s="33" t="s">
        <v>71</v>
      </c>
      <c r="B123" s="32" t="s">
        <v>343</v>
      </c>
      <c r="C123" s="32"/>
      <c r="D123" s="32"/>
      <c r="E123" s="32"/>
      <c r="F123" s="32" t="s">
        <v>343</v>
      </c>
      <c r="G123" s="32"/>
      <c r="H123" s="32" t="s">
        <v>643</v>
      </c>
      <c r="I123" s="32"/>
      <c r="J123" s="32"/>
      <c r="K123" s="32"/>
      <c r="L123" s="30">
        <f>3346+59</f>
        <v>3405</v>
      </c>
      <c r="M123" s="32" t="s">
        <v>405</v>
      </c>
      <c r="N123" s="5">
        <f>SUM(B123:L124)</f>
        <v>17378</v>
      </c>
    </row>
    <row r="124" spans="1:14">
      <c r="A124" s="30"/>
      <c r="B124" s="30">
        <v>11550</v>
      </c>
      <c r="C124" s="30"/>
      <c r="D124" s="30"/>
      <c r="E124" s="30"/>
      <c r="F124" s="30">
        <v>734</v>
      </c>
      <c r="G124" s="30"/>
      <c r="H124" s="30">
        <v>1689</v>
      </c>
      <c r="I124" s="30"/>
      <c r="J124" s="30"/>
      <c r="K124" s="33"/>
      <c r="L124" s="30"/>
      <c r="M124" s="33"/>
      <c r="N124" s="5"/>
    </row>
    <row r="125" spans="1:1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5"/>
    </row>
    <row r="126" spans="1:14">
      <c r="A126" s="14" t="s">
        <v>75</v>
      </c>
      <c r="B126" s="12" t="s">
        <v>76</v>
      </c>
      <c r="C126" s="12"/>
      <c r="D126" s="12"/>
      <c r="E126" s="12"/>
      <c r="F126" s="12" t="s">
        <v>306</v>
      </c>
      <c r="G126" s="12"/>
      <c r="H126" s="12"/>
      <c r="I126" s="12"/>
      <c r="J126" s="12"/>
      <c r="K126" s="12"/>
      <c r="L126" s="13">
        <f>5419+191</f>
        <v>5610</v>
      </c>
      <c r="M126" s="12" t="s">
        <v>77</v>
      </c>
      <c r="N126" s="5">
        <f>SUM(B126:L127)</f>
        <v>28538</v>
      </c>
    </row>
    <row r="127" spans="1:14">
      <c r="A127" s="13"/>
      <c r="B127" s="13">
        <v>21228</v>
      </c>
      <c r="C127" s="13"/>
      <c r="D127" s="13"/>
      <c r="E127" s="13"/>
      <c r="F127" s="13">
        <v>1700</v>
      </c>
      <c r="G127" s="13"/>
      <c r="H127" s="13"/>
      <c r="I127" s="13"/>
      <c r="J127" s="13"/>
      <c r="K127" s="13"/>
      <c r="L127" s="13"/>
      <c r="M127" s="14"/>
      <c r="N127" s="5"/>
    </row>
    <row r="128" spans="1:1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5"/>
    </row>
    <row r="129" spans="1:14">
      <c r="A129" s="33" t="s">
        <v>82</v>
      </c>
      <c r="B129" s="32" t="s">
        <v>406</v>
      </c>
      <c r="C129" s="32" t="s">
        <v>407</v>
      </c>
      <c r="D129" s="32"/>
      <c r="E129" s="32" t="s">
        <v>407</v>
      </c>
      <c r="F129" s="32" t="s">
        <v>406</v>
      </c>
      <c r="G129" s="32"/>
      <c r="H129" s="32"/>
      <c r="I129" s="32" t="s">
        <v>644</v>
      </c>
      <c r="J129" s="32"/>
      <c r="K129" s="32"/>
      <c r="L129" s="30">
        <f>1094+22</f>
        <v>1116</v>
      </c>
      <c r="M129" s="32" t="s">
        <v>408</v>
      </c>
      <c r="N129" s="5">
        <f>SUM(B129:L130)</f>
        <v>32681</v>
      </c>
    </row>
    <row r="130" spans="1:14">
      <c r="A130" s="30"/>
      <c r="B130" s="30">
        <v>26773</v>
      </c>
      <c r="C130" s="30">
        <v>1985</v>
      </c>
      <c r="D130" s="30"/>
      <c r="E130" s="30">
        <v>279</v>
      </c>
      <c r="F130" s="30">
        <v>1839</v>
      </c>
      <c r="G130" s="30"/>
      <c r="H130" s="30"/>
      <c r="I130" s="30">
        <v>689</v>
      </c>
      <c r="J130" s="30"/>
      <c r="K130" s="30"/>
      <c r="L130" s="30"/>
      <c r="M130" s="33"/>
      <c r="N130" s="5"/>
    </row>
    <row r="131" spans="1:1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5"/>
    </row>
    <row r="132" spans="1:14">
      <c r="A132" s="14" t="s">
        <v>85</v>
      </c>
      <c r="B132" s="12" t="s">
        <v>449</v>
      </c>
      <c r="C132" s="12"/>
      <c r="D132" s="12"/>
      <c r="E132" s="12"/>
      <c r="F132" s="12" t="s">
        <v>449</v>
      </c>
      <c r="G132" s="12"/>
      <c r="H132" s="12"/>
      <c r="I132" s="12"/>
      <c r="J132" s="12"/>
      <c r="K132" s="12"/>
      <c r="L132" s="13">
        <f>2668+131</f>
        <v>2799</v>
      </c>
      <c r="M132" s="15" t="s">
        <v>450</v>
      </c>
      <c r="N132" s="5">
        <f>SUM(B132:L133)</f>
        <v>38394</v>
      </c>
    </row>
    <row r="133" spans="1:14">
      <c r="A133" s="13"/>
      <c r="B133" s="13">
        <v>32610</v>
      </c>
      <c r="C133" s="13"/>
      <c r="D133" s="13"/>
      <c r="E133" s="13"/>
      <c r="F133" s="13">
        <v>2985</v>
      </c>
      <c r="G133" s="13"/>
      <c r="H133" s="13"/>
      <c r="I133" s="13"/>
      <c r="J133" s="13"/>
      <c r="K133" s="13"/>
      <c r="L133" s="13"/>
      <c r="M133" s="14"/>
      <c r="N133" s="5"/>
    </row>
    <row r="134" spans="1:1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5"/>
    </row>
    <row r="135" spans="1:14">
      <c r="A135" s="33" t="s">
        <v>90</v>
      </c>
      <c r="B135" s="32" t="s">
        <v>493</v>
      </c>
      <c r="C135" s="32" t="s">
        <v>645</v>
      </c>
      <c r="D135" s="32"/>
      <c r="E135" s="32" t="s">
        <v>645</v>
      </c>
      <c r="F135" s="32" t="s">
        <v>493</v>
      </c>
      <c r="G135" s="32"/>
      <c r="H135" s="32" t="s">
        <v>645</v>
      </c>
      <c r="I135" s="32"/>
      <c r="J135" s="32"/>
      <c r="K135" s="32"/>
      <c r="L135" s="30">
        <f>1285+50</f>
        <v>1335</v>
      </c>
      <c r="M135" s="32" t="s">
        <v>495</v>
      </c>
      <c r="N135" s="5">
        <f>SUM(B135:L136)</f>
        <v>36127</v>
      </c>
    </row>
    <row r="136" spans="1:14">
      <c r="A136" s="30"/>
      <c r="B136" s="30">
        <v>24980</v>
      </c>
      <c r="C136" s="30">
        <v>4155</v>
      </c>
      <c r="D136" s="30"/>
      <c r="E136" s="30">
        <v>665</v>
      </c>
      <c r="F136" s="30">
        <v>4922</v>
      </c>
      <c r="G136" s="30"/>
      <c r="H136" s="30">
        <v>70</v>
      </c>
      <c r="I136" s="30"/>
      <c r="J136" s="30"/>
      <c r="K136" s="33"/>
      <c r="L136" s="30"/>
      <c r="M136" s="33"/>
      <c r="N136" s="5"/>
    </row>
    <row r="137" spans="1:1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5"/>
    </row>
    <row r="138" spans="1:14">
      <c r="A138" s="14" t="s">
        <v>93</v>
      </c>
      <c r="B138" s="12" t="s">
        <v>188</v>
      </c>
      <c r="C138" s="5"/>
      <c r="D138" s="12" t="s">
        <v>188</v>
      </c>
      <c r="E138" s="12"/>
      <c r="F138" s="12" t="s">
        <v>188</v>
      </c>
      <c r="G138" s="12" t="s">
        <v>188</v>
      </c>
      <c r="H138" s="12"/>
      <c r="I138" s="12"/>
      <c r="J138" s="12"/>
      <c r="K138" s="12"/>
      <c r="L138" s="13">
        <f>5823+179</f>
        <v>6002</v>
      </c>
      <c r="M138" s="12" t="s">
        <v>199</v>
      </c>
      <c r="N138" s="5">
        <f>SUM(B138:L139)</f>
        <v>20303</v>
      </c>
    </row>
    <row r="139" spans="1:14">
      <c r="A139" s="13"/>
      <c r="B139" s="13">
        <v>12024</v>
      </c>
      <c r="C139" s="5"/>
      <c r="D139" s="13">
        <v>1226</v>
      </c>
      <c r="E139" s="13"/>
      <c r="F139" s="13">
        <v>946</v>
      </c>
      <c r="G139" s="13">
        <v>105</v>
      </c>
      <c r="H139" s="13"/>
      <c r="I139" s="13"/>
      <c r="J139" s="13"/>
      <c r="K139" s="13"/>
      <c r="L139" s="13"/>
      <c r="M139" s="14"/>
      <c r="N139" s="5"/>
    </row>
    <row r="140" spans="1:1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5"/>
    </row>
    <row r="141" spans="1:14">
      <c r="A141" s="33" t="s">
        <v>97</v>
      </c>
      <c r="B141" s="32" t="s">
        <v>646</v>
      </c>
      <c r="C141" s="32" t="s">
        <v>647</v>
      </c>
      <c r="D141" s="32" t="s">
        <v>647</v>
      </c>
      <c r="E141" s="32" t="s">
        <v>647</v>
      </c>
      <c r="F141" s="32" t="s">
        <v>648</v>
      </c>
      <c r="G141" s="32" t="s">
        <v>646</v>
      </c>
      <c r="H141" s="32" t="s">
        <v>647</v>
      </c>
      <c r="I141" s="32" t="s">
        <v>590</v>
      </c>
      <c r="J141" s="32"/>
      <c r="K141" s="32"/>
      <c r="L141" s="30">
        <f>1336+19</f>
        <v>1355</v>
      </c>
      <c r="M141" s="32" t="s">
        <v>649</v>
      </c>
      <c r="N141" s="5">
        <f>SUM(B141:L142)</f>
        <v>30667</v>
      </c>
    </row>
    <row r="142" spans="1:14">
      <c r="A142" s="30"/>
      <c r="B142" s="30">
        <v>15537</v>
      </c>
      <c r="C142" s="30">
        <v>11567</v>
      </c>
      <c r="D142" s="30">
        <v>296</v>
      </c>
      <c r="E142" s="30">
        <v>883</v>
      </c>
      <c r="F142" s="30">
        <v>464</v>
      </c>
      <c r="G142" s="30">
        <v>188</v>
      </c>
      <c r="H142" s="30">
        <v>67</v>
      </c>
      <c r="I142" s="30">
        <v>310</v>
      </c>
      <c r="J142" s="30"/>
      <c r="K142" s="33"/>
      <c r="L142" s="30"/>
      <c r="M142" s="33"/>
      <c r="N142" s="5"/>
    </row>
    <row r="143" spans="1:1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5"/>
    </row>
    <row r="144" spans="1:14">
      <c r="A144" s="14" t="s">
        <v>101</v>
      </c>
      <c r="B144" s="12" t="s">
        <v>200</v>
      </c>
      <c r="C144" s="12" t="s">
        <v>650</v>
      </c>
      <c r="D144" s="12"/>
      <c r="E144" s="12" t="s">
        <v>650</v>
      </c>
      <c r="F144" s="12" t="s">
        <v>200</v>
      </c>
      <c r="G144" s="12"/>
      <c r="H144" s="12"/>
      <c r="I144" s="12"/>
      <c r="J144" s="12"/>
      <c r="K144" s="12"/>
      <c r="L144" s="13">
        <f>728+21</f>
        <v>749</v>
      </c>
      <c r="M144" s="12" t="s">
        <v>102</v>
      </c>
      <c r="N144" s="5">
        <f>SUM(B144:L145)</f>
        <v>18775</v>
      </c>
    </row>
    <row r="145" spans="1:14">
      <c r="A145" s="13"/>
      <c r="B145" s="13">
        <v>11860</v>
      </c>
      <c r="C145" s="13">
        <v>5101</v>
      </c>
      <c r="D145" s="13"/>
      <c r="E145" s="14">
        <v>400</v>
      </c>
      <c r="F145" s="14">
        <v>665</v>
      </c>
      <c r="G145" s="14"/>
      <c r="H145" s="14"/>
      <c r="I145" s="14"/>
      <c r="J145" s="14"/>
      <c r="K145" s="14"/>
      <c r="L145" s="13"/>
      <c r="M145" s="14"/>
      <c r="N145" s="5"/>
    </row>
    <row r="146" spans="1:1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5"/>
    </row>
    <row r="147" spans="1:14">
      <c r="A147" s="33" t="s">
        <v>106</v>
      </c>
      <c r="B147" s="32" t="s">
        <v>651</v>
      </c>
      <c r="C147" s="32"/>
      <c r="D147" s="31"/>
      <c r="E147" s="32" t="s">
        <v>651</v>
      </c>
      <c r="F147" s="32"/>
      <c r="G147" s="32"/>
      <c r="H147" s="32"/>
      <c r="I147" s="32"/>
      <c r="J147" s="32"/>
      <c r="K147" s="32"/>
      <c r="L147" s="30">
        <f>2672+157</f>
        <v>2829</v>
      </c>
      <c r="M147" s="32" t="s">
        <v>652</v>
      </c>
      <c r="N147" s="5">
        <f>SUM(B147:L148)</f>
        <v>18627</v>
      </c>
    </row>
    <row r="148" spans="1:14">
      <c r="A148" s="30"/>
      <c r="B148" s="30">
        <v>9702</v>
      </c>
      <c r="C148" s="30"/>
      <c r="D148" s="31"/>
      <c r="E148" s="30">
        <v>6096</v>
      </c>
      <c r="F148" s="30"/>
      <c r="G148" s="30"/>
      <c r="H148" s="30"/>
      <c r="I148" s="30"/>
      <c r="J148" s="30"/>
      <c r="K148" s="33"/>
      <c r="L148" s="30"/>
      <c r="M148" s="33"/>
      <c r="N148" s="5"/>
    </row>
    <row r="149" spans="1:1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5"/>
    </row>
    <row r="150" spans="1:14">
      <c r="A150" s="14" t="s">
        <v>112</v>
      </c>
      <c r="B150" s="12" t="s">
        <v>261</v>
      </c>
      <c r="C150" s="12"/>
      <c r="D150" s="12" t="s">
        <v>261</v>
      </c>
      <c r="E150" s="12" t="s">
        <v>501</v>
      </c>
      <c r="F150" s="12" t="s">
        <v>261</v>
      </c>
      <c r="G150" s="12"/>
      <c r="H150" s="12"/>
      <c r="I150" s="12"/>
      <c r="J150" s="12"/>
      <c r="K150" s="12"/>
      <c r="L150" s="13">
        <f>1852+9</f>
        <v>1861</v>
      </c>
      <c r="M150" s="12" t="s">
        <v>262</v>
      </c>
      <c r="N150" s="5">
        <f>SUM(B150:L151)</f>
        <v>14677</v>
      </c>
    </row>
    <row r="151" spans="1:14">
      <c r="A151" s="13"/>
      <c r="B151" s="13">
        <v>9910</v>
      </c>
      <c r="C151" s="13"/>
      <c r="D151" s="13">
        <v>350</v>
      </c>
      <c r="E151" s="14">
        <v>2017</v>
      </c>
      <c r="F151" s="14">
        <v>539</v>
      </c>
      <c r="G151" s="14"/>
      <c r="H151" s="14"/>
      <c r="I151" s="14"/>
      <c r="J151" s="14"/>
      <c r="K151" s="14"/>
      <c r="L151" s="13"/>
      <c r="M151" s="14"/>
      <c r="N151" s="5"/>
    </row>
    <row r="152" spans="1:1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5"/>
    </row>
    <row r="153" spans="1:14">
      <c r="A153" s="33" t="s">
        <v>116</v>
      </c>
      <c r="B153" s="32" t="s">
        <v>117</v>
      </c>
      <c r="C153" s="32"/>
      <c r="D153" s="31"/>
      <c r="E153" s="32"/>
      <c r="F153" s="32"/>
      <c r="G153" s="32"/>
      <c r="H153" s="32"/>
      <c r="I153" s="32"/>
      <c r="J153" s="32"/>
      <c r="K153" s="32"/>
      <c r="L153" s="30">
        <f>3373+238</f>
        <v>3611</v>
      </c>
      <c r="M153" s="32" t="s">
        <v>118</v>
      </c>
      <c r="N153" s="5">
        <f>SUM(B153:L154)</f>
        <v>32758</v>
      </c>
    </row>
    <row r="154" spans="1:14">
      <c r="A154" s="30"/>
      <c r="B154" s="30">
        <v>29147</v>
      </c>
      <c r="C154" s="30"/>
      <c r="D154" s="31"/>
      <c r="E154" s="30"/>
      <c r="F154" s="30"/>
      <c r="G154" s="30"/>
      <c r="H154" s="30"/>
      <c r="I154" s="30"/>
      <c r="J154" s="30"/>
      <c r="K154" s="30"/>
      <c r="L154" s="30"/>
      <c r="M154" s="33"/>
      <c r="N154" s="5"/>
    </row>
    <row r="155" spans="1:1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5"/>
    </row>
    <row r="156" spans="1:14">
      <c r="A156" s="14" t="s">
        <v>120</v>
      </c>
      <c r="B156" s="12" t="s">
        <v>121</v>
      </c>
      <c r="C156" s="10"/>
      <c r="D156" s="12"/>
      <c r="E156" s="10"/>
      <c r="F156" s="12"/>
      <c r="G156" s="12"/>
      <c r="H156" s="12"/>
      <c r="I156" s="12"/>
      <c r="J156" s="12"/>
      <c r="K156" s="15"/>
      <c r="L156" s="13">
        <f>3056+232</f>
        <v>3288</v>
      </c>
      <c r="M156" s="12" t="s">
        <v>122</v>
      </c>
      <c r="N156" s="5">
        <f>SUM(B156:L157)</f>
        <v>24026</v>
      </c>
    </row>
    <row r="157" spans="1:14">
      <c r="A157" s="13"/>
      <c r="B157" s="13">
        <v>20738</v>
      </c>
      <c r="C157" s="5"/>
      <c r="D157" s="13"/>
      <c r="E157" s="13"/>
      <c r="F157" s="13"/>
      <c r="G157" s="13"/>
      <c r="H157" s="13"/>
      <c r="I157" s="13"/>
      <c r="J157" s="13"/>
      <c r="K157" s="13"/>
      <c r="L157" s="13"/>
      <c r="M157" s="14"/>
      <c r="N157" s="5"/>
    </row>
    <row r="158" spans="1:1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5"/>
    </row>
    <row r="159" spans="1:14">
      <c r="A159" s="33" t="s">
        <v>134</v>
      </c>
      <c r="B159" s="32" t="s">
        <v>410</v>
      </c>
      <c r="C159" s="32"/>
      <c r="D159" s="32"/>
      <c r="E159" s="32" t="s">
        <v>217</v>
      </c>
      <c r="F159" s="32" t="s">
        <v>410</v>
      </c>
      <c r="G159" s="32"/>
      <c r="H159" s="32"/>
      <c r="I159" s="32"/>
      <c r="J159" s="32" t="s">
        <v>653</v>
      </c>
      <c r="K159" s="32"/>
      <c r="L159" s="30">
        <f>2458+56</f>
        <v>2514</v>
      </c>
      <c r="M159" s="32" t="s">
        <v>654</v>
      </c>
      <c r="N159" s="5">
        <f>SUM(B159:L160)</f>
        <v>61478</v>
      </c>
    </row>
    <row r="160" spans="1:14">
      <c r="A160" s="30"/>
      <c r="B160" s="30">
        <v>48656</v>
      </c>
      <c r="C160" s="30"/>
      <c r="D160" s="30"/>
      <c r="E160" s="30">
        <v>1988</v>
      </c>
      <c r="F160" s="30">
        <v>7653</v>
      </c>
      <c r="G160" s="30"/>
      <c r="H160" s="30"/>
      <c r="I160" s="30"/>
      <c r="J160" s="30">
        <v>667</v>
      </c>
      <c r="K160" s="30"/>
      <c r="L160" s="30"/>
      <c r="M160" s="33"/>
      <c r="N160" s="5"/>
    </row>
    <row r="161" spans="1:14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>
      <c r="A162" s="14" t="s">
        <v>139</v>
      </c>
      <c r="B162" s="15" t="s">
        <v>394</v>
      </c>
      <c r="C162" s="15"/>
      <c r="D162" s="15"/>
      <c r="E162" s="15"/>
      <c r="F162" s="15" t="s">
        <v>394</v>
      </c>
      <c r="G162" s="15"/>
      <c r="H162" s="15"/>
      <c r="I162" s="15"/>
      <c r="J162" s="15"/>
      <c r="K162" s="15"/>
      <c r="L162" s="15">
        <f>2160+124</f>
        <v>2284</v>
      </c>
      <c r="M162" s="15" t="s">
        <v>395</v>
      </c>
      <c r="N162" s="5">
        <f>SUM(B162:L163)</f>
        <v>32358</v>
      </c>
    </row>
    <row r="163" spans="1:14">
      <c r="A163" s="13"/>
      <c r="B163" s="13">
        <v>27580</v>
      </c>
      <c r="C163" s="13"/>
      <c r="D163" s="13"/>
      <c r="E163" s="13"/>
      <c r="F163" s="13">
        <v>2494</v>
      </c>
      <c r="G163" s="13"/>
      <c r="H163" s="13"/>
      <c r="I163" s="13"/>
      <c r="J163" s="13"/>
      <c r="K163" s="13"/>
      <c r="L163" s="13"/>
      <c r="M163" s="13"/>
      <c r="N163" s="5"/>
    </row>
    <row r="164" spans="1:1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5"/>
    </row>
    <row r="165" spans="1:14">
      <c r="A165" s="33" t="s">
        <v>142</v>
      </c>
      <c r="B165" s="32" t="s">
        <v>412</v>
      </c>
      <c r="C165" s="32" t="s">
        <v>224</v>
      </c>
      <c r="D165" s="31"/>
      <c r="E165" s="32" t="s">
        <v>224</v>
      </c>
      <c r="F165" s="32"/>
      <c r="G165" s="32"/>
      <c r="H165" s="32"/>
      <c r="I165" s="32"/>
      <c r="J165" s="32"/>
      <c r="K165" s="32"/>
      <c r="L165" s="30">
        <f>1028+51</f>
        <v>1079</v>
      </c>
      <c r="M165" s="32" t="s">
        <v>413</v>
      </c>
      <c r="N165" s="5">
        <f>SUM(B165:L166)</f>
        <v>24821</v>
      </c>
    </row>
    <row r="166" spans="1:14">
      <c r="A166" s="30"/>
      <c r="B166" s="30">
        <v>22659</v>
      </c>
      <c r="C166" s="30">
        <v>885</v>
      </c>
      <c r="D166" s="31"/>
      <c r="E166" s="30">
        <v>198</v>
      </c>
      <c r="F166" s="30"/>
      <c r="G166" s="30"/>
      <c r="H166" s="30"/>
      <c r="I166" s="30"/>
      <c r="J166" s="30"/>
      <c r="K166" s="33"/>
      <c r="L166" s="30"/>
      <c r="M166" s="33"/>
      <c r="N166" s="5"/>
    </row>
    <row r="167" spans="1:1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5"/>
    </row>
    <row r="168" spans="1:14">
      <c r="A168" s="14" t="s">
        <v>145</v>
      </c>
      <c r="B168" s="12" t="s">
        <v>414</v>
      </c>
      <c r="C168" s="12" t="s">
        <v>415</v>
      </c>
      <c r="D168" s="12"/>
      <c r="E168" s="12"/>
      <c r="F168" s="12" t="s">
        <v>414</v>
      </c>
      <c r="G168" s="12"/>
      <c r="H168" s="12"/>
      <c r="I168" s="12"/>
      <c r="J168" s="12"/>
      <c r="K168" s="12"/>
      <c r="L168" s="13">
        <f>1036+14</f>
        <v>1050</v>
      </c>
      <c r="M168" s="12" t="s">
        <v>502</v>
      </c>
      <c r="N168" s="5">
        <f>SUM(B168:L169)</f>
        <v>29473</v>
      </c>
    </row>
    <row r="169" spans="1:14">
      <c r="A169" s="13"/>
      <c r="B169" s="13">
        <v>27045</v>
      </c>
      <c r="C169" s="13">
        <v>513</v>
      </c>
      <c r="D169" s="13"/>
      <c r="E169" s="13"/>
      <c r="F169" s="13">
        <v>865</v>
      </c>
      <c r="G169" s="13"/>
      <c r="H169" s="13"/>
      <c r="I169" s="13"/>
      <c r="J169" s="13"/>
      <c r="K169" s="14"/>
      <c r="L169" s="13"/>
      <c r="M169" s="14"/>
      <c r="N169" s="5"/>
    </row>
    <row r="170" spans="1:1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5"/>
    </row>
    <row r="171" spans="1:14">
      <c r="A171" s="33" t="s">
        <v>150</v>
      </c>
      <c r="B171" s="32" t="s">
        <v>312</v>
      </c>
      <c r="C171" s="32"/>
      <c r="D171" s="32"/>
      <c r="E171" s="32"/>
      <c r="F171" s="32" t="s">
        <v>312</v>
      </c>
      <c r="G171" s="32"/>
      <c r="H171" s="32"/>
      <c r="I171" s="32"/>
      <c r="J171" s="32"/>
      <c r="K171" s="32"/>
      <c r="L171" s="30">
        <f>1918+78</f>
        <v>1996</v>
      </c>
      <c r="M171" s="32" t="s">
        <v>503</v>
      </c>
      <c r="N171" s="5">
        <f>SUM(B171:L172)</f>
        <v>38515</v>
      </c>
    </row>
    <row r="172" spans="1:14">
      <c r="A172" s="30"/>
      <c r="B172" s="30">
        <v>33678</v>
      </c>
      <c r="C172" s="30"/>
      <c r="D172" s="30"/>
      <c r="E172" s="30"/>
      <c r="F172" s="30">
        <v>2841</v>
      </c>
      <c r="G172" s="30"/>
      <c r="H172" s="30"/>
      <c r="I172" s="30"/>
      <c r="J172" s="30"/>
      <c r="K172" s="30"/>
      <c r="L172" s="30"/>
      <c r="M172" s="33"/>
      <c r="N172" s="5"/>
    </row>
    <row r="173" spans="1:1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5"/>
    </row>
    <row r="174" spans="1:14">
      <c r="A174" s="14" t="s">
        <v>154</v>
      </c>
      <c r="B174" s="12" t="s">
        <v>344</v>
      </c>
      <c r="C174" s="12"/>
      <c r="D174" s="12"/>
      <c r="E174" s="12"/>
      <c r="F174" s="12" t="s">
        <v>344</v>
      </c>
      <c r="G174" s="12"/>
      <c r="H174" s="12"/>
      <c r="I174" s="12"/>
      <c r="J174" s="12"/>
      <c r="K174" s="12"/>
      <c r="L174" s="13">
        <f>2363+137</f>
        <v>2500</v>
      </c>
      <c r="M174" s="12" t="s">
        <v>345</v>
      </c>
      <c r="N174" s="5">
        <f>SUM(B174:L175)</f>
        <v>51978</v>
      </c>
    </row>
    <row r="175" spans="1:14">
      <c r="A175" s="13"/>
      <c r="B175" s="13">
        <v>43621</v>
      </c>
      <c r="C175" s="13"/>
      <c r="D175" s="13"/>
      <c r="E175" s="13"/>
      <c r="F175" s="13">
        <v>5857</v>
      </c>
      <c r="G175" s="13"/>
      <c r="H175" s="13"/>
      <c r="I175" s="13"/>
      <c r="J175" s="13"/>
      <c r="K175" s="13"/>
      <c r="L175" s="13"/>
      <c r="M175" s="13"/>
      <c r="N175" s="5"/>
    </row>
    <row r="176" spans="1:1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5"/>
    </row>
    <row r="177" spans="1:14">
      <c r="A177" s="33" t="s">
        <v>158</v>
      </c>
      <c r="B177" s="32" t="s">
        <v>159</v>
      </c>
      <c r="C177" s="32"/>
      <c r="D177" s="32"/>
      <c r="E177" s="32"/>
      <c r="F177" s="32" t="s">
        <v>504</v>
      </c>
      <c r="G177" s="32"/>
      <c r="H177" s="32"/>
      <c r="I177" s="32"/>
      <c r="J177" s="32"/>
      <c r="K177" s="32"/>
      <c r="L177" s="30">
        <f>1624+35</f>
        <v>1659</v>
      </c>
      <c r="M177" s="32" t="s">
        <v>160</v>
      </c>
      <c r="N177" s="5">
        <f>SUM(B177:L178)</f>
        <v>35150</v>
      </c>
    </row>
    <row r="178" spans="1:14">
      <c r="A178" s="30"/>
      <c r="B178" s="30">
        <v>32839</v>
      </c>
      <c r="C178" s="30"/>
      <c r="D178" s="30"/>
      <c r="E178" s="30"/>
      <c r="F178" s="30">
        <v>652</v>
      </c>
      <c r="G178" s="30"/>
      <c r="H178" s="30"/>
      <c r="I178" s="30"/>
      <c r="J178" s="30"/>
      <c r="K178" s="30"/>
      <c r="L178" s="30"/>
      <c r="M178" s="33"/>
      <c r="N178" s="5"/>
    </row>
    <row r="179" spans="1:1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5"/>
    </row>
    <row r="180" spans="1:14">
      <c r="A180" s="14" t="s">
        <v>166</v>
      </c>
      <c r="B180" s="12" t="s">
        <v>407</v>
      </c>
      <c r="C180" s="12" t="s">
        <v>655</v>
      </c>
      <c r="D180" s="12"/>
      <c r="E180" s="12" t="s">
        <v>655</v>
      </c>
      <c r="F180" s="12" t="s">
        <v>407</v>
      </c>
      <c r="G180" s="12"/>
      <c r="H180" s="12"/>
      <c r="I180" s="12"/>
      <c r="J180" s="12"/>
      <c r="K180" s="5"/>
      <c r="L180" s="13">
        <f>1432+10</f>
        <v>1442</v>
      </c>
      <c r="M180" s="12" t="s">
        <v>505</v>
      </c>
      <c r="N180" s="5">
        <f>SUM(B180:L181)</f>
        <v>35451</v>
      </c>
    </row>
    <row r="181" spans="1:14">
      <c r="A181" s="13"/>
      <c r="B181" s="13">
        <v>26919</v>
      </c>
      <c r="C181" s="13">
        <v>5767</v>
      </c>
      <c r="D181" s="13"/>
      <c r="E181" s="13">
        <v>718</v>
      </c>
      <c r="F181" s="13">
        <v>605</v>
      </c>
      <c r="G181" s="13"/>
      <c r="H181" s="13"/>
      <c r="I181" s="13"/>
      <c r="J181" s="13"/>
      <c r="K181" s="5"/>
      <c r="L181" s="13"/>
      <c r="M181" s="14"/>
      <c r="N181" s="5"/>
    </row>
    <row r="182" spans="1:1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5"/>
    </row>
    <row r="183" spans="1:14">
      <c r="A183" s="33" t="s">
        <v>170</v>
      </c>
      <c r="B183" s="32" t="s">
        <v>275</v>
      </c>
      <c r="C183" s="32" t="s">
        <v>656</v>
      </c>
      <c r="D183" s="32"/>
      <c r="E183" s="32" t="s">
        <v>419</v>
      </c>
      <c r="F183" s="32"/>
      <c r="G183" s="32"/>
      <c r="H183" s="32"/>
      <c r="I183" s="32"/>
      <c r="J183" s="32"/>
      <c r="K183" s="32"/>
      <c r="L183" s="30">
        <f>1320+41</f>
        <v>1361</v>
      </c>
      <c r="M183" s="29" t="s">
        <v>417</v>
      </c>
      <c r="N183" s="17">
        <f>SUM(B183:L184)</f>
        <v>31529</v>
      </c>
    </row>
    <row r="184" spans="1:14">
      <c r="A184" s="30"/>
      <c r="B184" s="30">
        <v>28911</v>
      </c>
      <c r="C184" s="30">
        <v>839</v>
      </c>
      <c r="D184" s="30"/>
      <c r="E184" s="30">
        <v>418</v>
      </c>
      <c r="F184" s="30"/>
      <c r="G184" s="30"/>
      <c r="H184" s="30"/>
      <c r="I184" s="30"/>
      <c r="J184" s="30"/>
      <c r="K184" s="30"/>
      <c r="L184" s="30"/>
      <c r="M184" s="30"/>
      <c r="N184" s="5"/>
    </row>
    <row r="185" spans="1:14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>
      <c r="A186" s="5" t="s">
        <v>5</v>
      </c>
      <c r="B186" s="15" t="s">
        <v>657</v>
      </c>
      <c r="C186" s="15"/>
      <c r="D186" s="15"/>
      <c r="E186" s="15"/>
      <c r="F186" s="15" t="s">
        <v>658</v>
      </c>
      <c r="G186" s="15"/>
      <c r="H186" s="15" t="s">
        <v>657</v>
      </c>
      <c r="I186" s="15" t="s">
        <v>659</v>
      </c>
      <c r="J186" s="15"/>
      <c r="K186" s="15"/>
      <c r="L186" s="15">
        <f>6037+130</f>
        <v>6167</v>
      </c>
      <c r="M186" s="10" t="s">
        <v>660</v>
      </c>
      <c r="N186" s="5">
        <f>SUM(B186:L187)</f>
        <v>35781</v>
      </c>
    </row>
    <row r="187" spans="1:14">
      <c r="A187" s="5"/>
      <c r="B187" s="13">
        <v>24561</v>
      </c>
      <c r="C187" s="13"/>
      <c r="D187" s="13"/>
      <c r="E187" s="13"/>
      <c r="F187" s="13">
        <v>2956</v>
      </c>
      <c r="G187" s="13"/>
      <c r="H187" s="13">
        <v>425</v>
      </c>
      <c r="I187" s="13">
        <v>1672</v>
      </c>
      <c r="J187" s="13"/>
      <c r="K187" s="13"/>
      <c r="L187" s="13"/>
      <c r="M187" s="5"/>
      <c r="N187" s="5"/>
    </row>
    <row r="188" spans="1:14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>
      <c r="A189" s="33" t="s">
        <v>8</v>
      </c>
      <c r="B189" s="29"/>
      <c r="C189" s="29" t="s">
        <v>661</v>
      </c>
      <c r="D189" s="29"/>
      <c r="E189" s="29" t="s">
        <v>661</v>
      </c>
      <c r="F189" s="29"/>
      <c r="G189" s="29"/>
      <c r="H189" s="29" t="s">
        <v>662</v>
      </c>
      <c r="I189" s="29"/>
      <c r="J189" s="29"/>
      <c r="K189" s="29"/>
      <c r="L189" s="29">
        <f>5711+285</f>
        <v>5996</v>
      </c>
      <c r="M189" s="29" t="s">
        <v>663</v>
      </c>
      <c r="N189" s="5">
        <f>SUM(B189:L190)</f>
        <v>40962</v>
      </c>
    </row>
    <row r="190" spans="1:14">
      <c r="A190" s="30"/>
      <c r="B190" s="30"/>
      <c r="C190" s="30">
        <v>28533</v>
      </c>
      <c r="D190" s="30"/>
      <c r="E190" s="30">
        <v>2949</v>
      </c>
      <c r="F190" s="30"/>
      <c r="G190" s="30"/>
      <c r="H190" s="30">
        <v>3484</v>
      </c>
      <c r="I190" s="30"/>
      <c r="J190" s="30"/>
      <c r="K190" s="30"/>
      <c r="L190" s="30"/>
      <c r="M190" s="30"/>
      <c r="N190" s="5"/>
    </row>
    <row r="191" spans="1:14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5"/>
    </row>
    <row r="192" spans="1:14">
      <c r="A192" s="14" t="s">
        <v>14</v>
      </c>
      <c r="B192" s="12" t="s">
        <v>225</v>
      </c>
      <c r="C192" s="12"/>
      <c r="D192" s="12" t="s">
        <v>225</v>
      </c>
      <c r="E192" s="12" t="s">
        <v>225</v>
      </c>
      <c r="F192" s="12"/>
      <c r="G192" s="12"/>
      <c r="H192" s="12" t="s">
        <v>225</v>
      </c>
      <c r="I192" s="12" t="s">
        <v>664</v>
      </c>
      <c r="J192" s="12"/>
      <c r="K192" s="12"/>
      <c r="L192" s="13">
        <f>8176+123</f>
        <v>8299</v>
      </c>
      <c r="M192" s="12" t="s">
        <v>226</v>
      </c>
      <c r="N192" s="5">
        <f>SUM(B192:L193)</f>
        <v>36880</v>
      </c>
    </row>
    <row r="193" spans="1:14">
      <c r="A193" s="13"/>
      <c r="B193" s="13">
        <v>20204</v>
      </c>
      <c r="C193" s="13"/>
      <c r="D193" s="13">
        <v>1113</v>
      </c>
      <c r="E193" s="13">
        <v>5712</v>
      </c>
      <c r="F193" s="13"/>
      <c r="G193" s="13"/>
      <c r="H193" s="13">
        <v>308</v>
      </c>
      <c r="I193" s="13">
        <v>1244</v>
      </c>
      <c r="J193" s="13"/>
      <c r="K193" s="13"/>
      <c r="L193" s="13"/>
      <c r="M193" s="14"/>
      <c r="N193" s="5"/>
    </row>
    <row r="194" spans="1:1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5"/>
    </row>
    <row r="195" spans="1:14">
      <c r="A195" s="33" t="s">
        <v>23</v>
      </c>
      <c r="B195" s="32" t="s">
        <v>665</v>
      </c>
      <c r="C195" s="32" t="s">
        <v>308</v>
      </c>
      <c r="D195" s="32" t="s">
        <v>308</v>
      </c>
      <c r="E195" s="32" t="s">
        <v>308</v>
      </c>
      <c r="F195" s="32"/>
      <c r="G195" s="32"/>
      <c r="H195" s="32" t="s">
        <v>308</v>
      </c>
      <c r="I195" s="32"/>
      <c r="J195" s="32"/>
      <c r="K195" s="32"/>
      <c r="L195" s="30">
        <f>894+40</f>
        <v>934</v>
      </c>
      <c r="M195" s="32" t="s">
        <v>309</v>
      </c>
      <c r="N195" s="5">
        <f>SUM(B195:L196)</f>
        <v>35665</v>
      </c>
    </row>
    <row r="196" spans="1:14">
      <c r="A196" s="30"/>
      <c r="B196" s="30">
        <v>13838</v>
      </c>
      <c r="C196" s="30">
        <v>17971</v>
      </c>
      <c r="D196" s="30">
        <v>861</v>
      </c>
      <c r="E196" s="30">
        <v>1835</v>
      </c>
      <c r="F196" s="30"/>
      <c r="G196" s="30"/>
      <c r="H196" s="30">
        <v>226</v>
      </c>
      <c r="I196" s="30"/>
      <c r="J196" s="30"/>
      <c r="K196" s="33"/>
      <c r="L196" s="30"/>
      <c r="M196" s="33"/>
      <c r="N196" s="5"/>
    </row>
    <row r="197" spans="1:14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5"/>
    </row>
    <row r="198" spans="1:14">
      <c r="A198" s="14" t="s">
        <v>29</v>
      </c>
      <c r="B198" s="15" t="s">
        <v>508</v>
      </c>
      <c r="C198" s="15"/>
      <c r="D198" s="15"/>
      <c r="E198" s="15"/>
      <c r="F198" s="15" t="s">
        <v>508</v>
      </c>
      <c r="G198" s="15"/>
      <c r="H198" s="15"/>
      <c r="I198" s="15"/>
      <c r="J198" s="15"/>
      <c r="K198" s="15"/>
      <c r="L198" s="15">
        <f>4634+264</f>
        <v>4898</v>
      </c>
      <c r="M198" s="15" t="s">
        <v>510</v>
      </c>
      <c r="N198" s="5">
        <f>SUM(B198:L199)</f>
        <v>35859</v>
      </c>
    </row>
    <row r="199" spans="1:14">
      <c r="A199" s="13"/>
      <c r="B199" s="13">
        <v>28755</v>
      </c>
      <c r="C199" s="13"/>
      <c r="D199" s="13"/>
      <c r="E199" s="13"/>
      <c r="F199" s="13">
        <v>2206</v>
      </c>
      <c r="G199" s="13"/>
      <c r="H199" s="13"/>
      <c r="I199" s="13"/>
      <c r="J199" s="13"/>
      <c r="K199" s="13"/>
      <c r="L199" s="13"/>
      <c r="M199" s="13"/>
      <c r="N199" s="5"/>
    </row>
    <row r="200" spans="1:14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5"/>
    </row>
    <row r="201" spans="1:14">
      <c r="A201" s="33" t="s">
        <v>36</v>
      </c>
      <c r="B201" s="32" t="s">
        <v>37</v>
      </c>
      <c r="C201" s="32"/>
      <c r="D201" s="32"/>
      <c r="E201" s="32"/>
      <c r="F201" s="32" t="s">
        <v>666</v>
      </c>
      <c r="G201" s="32"/>
      <c r="H201" s="32"/>
      <c r="I201" s="32"/>
      <c r="J201" s="32"/>
      <c r="K201" s="32"/>
      <c r="L201" s="30">
        <f>3428+234</f>
        <v>3662</v>
      </c>
      <c r="M201" s="32" t="s">
        <v>38</v>
      </c>
      <c r="N201" s="5">
        <f>SUM(B201:L202)</f>
        <v>49094</v>
      </c>
    </row>
    <row r="202" spans="1:14">
      <c r="A202" s="30"/>
      <c r="B202" s="30">
        <v>37419</v>
      </c>
      <c r="C202" s="30"/>
      <c r="D202" s="30"/>
      <c r="E202" s="30"/>
      <c r="F202" s="30">
        <v>8013</v>
      </c>
      <c r="G202" s="30"/>
      <c r="H202" s="30"/>
      <c r="I202" s="30"/>
      <c r="J202" s="30"/>
      <c r="K202" s="33"/>
      <c r="L202" s="30"/>
      <c r="M202" s="30"/>
      <c r="N202" s="5"/>
    </row>
    <row r="203" spans="1:14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5"/>
    </row>
    <row r="204" spans="1:14">
      <c r="A204" s="14" t="s">
        <v>46</v>
      </c>
      <c r="B204" s="12" t="s">
        <v>263</v>
      </c>
      <c r="C204" s="12"/>
      <c r="D204" s="12"/>
      <c r="E204" s="12"/>
      <c r="F204" s="12" t="s">
        <v>263</v>
      </c>
      <c r="G204" s="12"/>
      <c r="H204" s="12"/>
      <c r="I204" s="12"/>
      <c r="J204" s="12"/>
      <c r="K204" s="12"/>
      <c r="L204" s="13">
        <f>5479+390</f>
        <v>5869</v>
      </c>
      <c r="M204" s="12" t="s">
        <v>264</v>
      </c>
      <c r="N204" s="5">
        <f>SUM(B204:L205)</f>
        <v>55637</v>
      </c>
    </row>
    <row r="205" spans="1:14">
      <c r="A205" s="13"/>
      <c r="B205" s="13">
        <v>46981</v>
      </c>
      <c r="C205" s="13"/>
      <c r="D205" s="13"/>
      <c r="E205" s="13"/>
      <c r="F205" s="13">
        <v>2787</v>
      </c>
      <c r="G205" s="13"/>
      <c r="H205" s="13"/>
      <c r="I205" s="13"/>
      <c r="J205" s="13"/>
      <c r="K205" s="14"/>
      <c r="L205" s="13"/>
      <c r="M205" s="14"/>
      <c r="N205" s="5"/>
    </row>
    <row r="206" spans="1:14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5"/>
    </row>
    <row r="207" spans="1:14">
      <c r="A207" s="33" t="s">
        <v>51</v>
      </c>
      <c r="B207" s="29" t="s">
        <v>310</v>
      </c>
      <c r="C207" s="29" t="s">
        <v>513</v>
      </c>
      <c r="D207" s="29"/>
      <c r="E207" s="29"/>
      <c r="F207" s="29"/>
      <c r="G207" s="29"/>
      <c r="H207" s="29" t="s">
        <v>513</v>
      </c>
      <c r="I207" s="29"/>
      <c r="J207" s="29"/>
      <c r="K207" s="29"/>
      <c r="L207" s="30">
        <f>1795+46</f>
        <v>1841</v>
      </c>
      <c r="M207" s="29" t="s">
        <v>311</v>
      </c>
      <c r="N207" s="5">
        <f>SUM(B207:L208)</f>
        <v>36327</v>
      </c>
    </row>
    <row r="208" spans="1:14">
      <c r="A208" s="30"/>
      <c r="B208" s="30">
        <v>32140</v>
      </c>
      <c r="C208" s="30">
        <v>2168</v>
      </c>
      <c r="D208" s="30"/>
      <c r="E208" s="30"/>
      <c r="F208" s="30"/>
      <c r="G208" s="30"/>
      <c r="H208" s="30">
        <v>178</v>
      </c>
      <c r="I208" s="30"/>
      <c r="J208" s="30"/>
      <c r="K208" s="29"/>
      <c r="L208" s="30"/>
      <c r="M208" s="30"/>
      <c r="N208" s="5"/>
    </row>
    <row r="209" spans="1:14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5"/>
    </row>
    <row r="210" spans="1:14">
      <c r="A210" s="14" t="s">
        <v>58</v>
      </c>
      <c r="B210" s="12" t="s">
        <v>227</v>
      </c>
      <c r="C210" s="12" t="s">
        <v>667</v>
      </c>
      <c r="D210" s="12"/>
      <c r="E210" s="12"/>
      <c r="F210" s="12"/>
      <c r="G210" s="12"/>
      <c r="H210" s="12"/>
      <c r="I210" s="12"/>
      <c r="J210" s="12"/>
      <c r="K210" s="15"/>
      <c r="L210" s="13">
        <f>2521+65</f>
        <v>2586</v>
      </c>
      <c r="M210" s="12" t="s">
        <v>228</v>
      </c>
      <c r="N210" s="5">
        <f>SUM(B210:L211)</f>
        <v>50753</v>
      </c>
    </row>
    <row r="211" spans="1:14">
      <c r="A211" s="13"/>
      <c r="B211" s="13">
        <v>44788</v>
      </c>
      <c r="C211" s="13">
        <v>3379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4"/>
      <c r="N211" s="5"/>
    </row>
    <row r="212" spans="1:14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5"/>
    </row>
    <row r="213" spans="1:14">
      <c r="A213" s="33" t="s">
        <v>62</v>
      </c>
      <c r="B213" s="32" t="s">
        <v>516</v>
      </c>
      <c r="C213" s="32"/>
      <c r="D213" s="32"/>
      <c r="E213" s="32"/>
      <c r="F213" s="32"/>
      <c r="G213" s="32"/>
      <c r="H213" s="32"/>
      <c r="I213" s="32"/>
      <c r="J213" s="32"/>
      <c r="K213" s="32"/>
      <c r="L213" s="30">
        <f>3892+278</f>
        <v>4170</v>
      </c>
      <c r="M213" s="32" t="s">
        <v>518</v>
      </c>
      <c r="N213" s="5">
        <f>SUM(B213:L214)</f>
        <v>44617</v>
      </c>
    </row>
    <row r="214" spans="1:14">
      <c r="A214" s="30"/>
      <c r="B214" s="30">
        <v>40447</v>
      </c>
      <c r="C214" s="30"/>
      <c r="D214" s="30"/>
      <c r="E214" s="30"/>
      <c r="F214" s="30"/>
      <c r="G214" s="30"/>
      <c r="H214" s="30"/>
      <c r="I214" s="30"/>
      <c r="J214" s="30"/>
      <c r="K214" s="33"/>
      <c r="L214" s="30"/>
      <c r="M214" s="33"/>
      <c r="N214" s="5"/>
    </row>
    <row r="215" spans="1:14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5"/>
    </row>
    <row r="216" spans="1:14">
      <c r="A216" s="14" t="s">
        <v>67</v>
      </c>
      <c r="B216" s="12" t="s">
        <v>668</v>
      </c>
      <c r="C216" s="12"/>
      <c r="D216" s="12"/>
      <c r="E216" s="12"/>
      <c r="F216" s="12" t="s">
        <v>668</v>
      </c>
      <c r="G216" s="12"/>
      <c r="H216" s="12"/>
      <c r="I216" s="12"/>
      <c r="J216" s="12"/>
      <c r="K216" s="12"/>
      <c r="L216" s="13">
        <f>3864+142</f>
        <v>4006</v>
      </c>
      <c r="M216" s="12" t="s">
        <v>669</v>
      </c>
      <c r="N216" s="5">
        <f>SUM(B216:L217)</f>
        <v>42904</v>
      </c>
    </row>
    <row r="217" spans="1:14">
      <c r="A217" s="13"/>
      <c r="B217" s="13">
        <v>36311</v>
      </c>
      <c r="C217" s="13"/>
      <c r="D217" s="13"/>
      <c r="E217" s="13"/>
      <c r="F217" s="13">
        <v>2587</v>
      </c>
      <c r="G217" s="13"/>
      <c r="H217" s="13"/>
      <c r="I217" s="13"/>
      <c r="J217" s="13"/>
      <c r="K217" s="13"/>
      <c r="L217" s="13"/>
      <c r="M217" s="14"/>
      <c r="N217" s="5"/>
    </row>
    <row r="218" spans="1:14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5"/>
    </row>
    <row r="219" spans="1:14">
      <c r="A219" s="33" t="s">
        <v>72</v>
      </c>
      <c r="B219" s="32" t="s">
        <v>520</v>
      </c>
      <c r="C219" s="32" t="s">
        <v>428</v>
      </c>
      <c r="D219" s="32"/>
      <c r="E219" s="32"/>
      <c r="F219" s="32" t="s">
        <v>520</v>
      </c>
      <c r="G219" s="32"/>
      <c r="H219" s="32"/>
      <c r="I219" s="32"/>
      <c r="J219" s="32"/>
      <c r="K219" s="32"/>
      <c r="L219" s="30">
        <f>1653+63</f>
        <v>1716</v>
      </c>
      <c r="M219" s="32" t="s">
        <v>521</v>
      </c>
      <c r="N219" s="5">
        <f>SUM(B219:L220)</f>
        <v>34874</v>
      </c>
    </row>
    <row r="220" spans="1:14">
      <c r="A220" s="30"/>
      <c r="B220" s="30">
        <v>29346</v>
      </c>
      <c r="C220" s="30">
        <v>1841</v>
      </c>
      <c r="D220" s="30"/>
      <c r="E220" s="30"/>
      <c r="F220" s="30">
        <v>1971</v>
      </c>
      <c r="G220" s="30"/>
      <c r="H220" s="30"/>
      <c r="I220" s="30"/>
      <c r="J220" s="30"/>
      <c r="K220" s="30"/>
      <c r="L220" s="30"/>
      <c r="M220" s="33"/>
      <c r="N220" s="5"/>
    </row>
    <row r="221" spans="1:14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5"/>
    </row>
    <row r="222" spans="1:14">
      <c r="A222" s="14" t="s">
        <v>79</v>
      </c>
      <c r="B222" s="12" t="s">
        <v>346</v>
      </c>
      <c r="C222" s="12" t="s">
        <v>670</v>
      </c>
      <c r="D222" s="12" t="s">
        <v>670</v>
      </c>
      <c r="E222" s="12"/>
      <c r="F222" s="12" t="s">
        <v>346</v>
      </c>
      <c r="G222" s="12"/>
      <c r="H222" s="12" t="s">
        <v>670</v>
      </c>
      <c r="I222" s="12"/>
      <c r="J222" s="12"/>
      <c r="K222" s="15"/>
      <c r="L222" s="13">
        <f>1461+37</f>
        <v>1498</v>
      </c>
      <c r="M222" s="12" t="s">
        <v>347</v>
      </c>
      <c r="N222" s="5">
        <f>SUM(B222:L223)</f>
        <v>48999</v>
      </c>
    </row>
    <row r="223" spans="1:14">
      <c r="A223" s="13"/>
      <c r="B223" s="13">
        <v>35224</v>
      </c>
      <c r="C223" s="13">
        <v>10618</v>
      </c>
      <c r="D223" s="13">
        <v>616</v>
      </c>
      <c r="E223" s="13"/>
      <c r="F223" s="13">
        <v>957</v>
      </c>
      <c r="G223" s="13"/>
      <c r="H223" s="13">
        <v>86</v>
      </c>
      <c r="I223" s="13"/>
      <c r="J223" s="13"/>
      <c r="K223" s="15"/>
      <c r="L223" s="13"/>
      <c r="M223" s="14"/>
      <c r="N223" s="5"/>
    </row>
    <row r="224" spans="1:1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5"/>
    </row>
    <row r="225" spans="1:14">
      <c r="A225" s="33" t="s">
        <v>87</v>
      </c>
      <c r="B225" s="32" t="s">
        <v>671</v>
      </c>
      <c r="C225" s="32" t="s">
        <v>672</v>
      </c>
      <c r="D225" s="32"/>
      <c r="E225" s="32"/>
      <c r="F225" s="32" t="s">
        <v>671</v>
      </c>
      <c r="G225" s="32"/>
      <c r="H225" s="32" t="s">
        <v>673</v>
      </c>
      <c r="I225" s="32"/>
      <c r="J225" s="32"/>
      <c r="K225" s="29"/>
      <c r="L225" s="30">
        <f>1855+43</f>
        <v>1898</v>
      </c>
      <c r="M225" s="32" t="s">
        <v>674</v>
      </c>
      <c r="N225" s="5">
        <f>SUM(B225:L226)</f>
        <v>43713</v>
      </c>
    </row>
    <row r="226" spans="1:14">
      <c r="A226" s="30"/>
      <c r="B226" s="30">
        <v>34316</v>
      </c>
      <c r="C226" s="30">
        <v>4694</v>
      </c>
      <c r="D226" s="30"/>
      <c r="E226" s="30"/>
      <c r="F226" s="30">
        <v>2219</v>
      </c>
      <c r="G226" s="30"/>
      <c r="H226" s="30">
        <v>586</v>
      </c>
      <c r="I226" s="30"/>
      <c r="J226" s="30"/>
      <c r="K226" s="30"/>
      <c r="L226" s="30"/>
      <c r="M226" s="30"/>
      <c r="N226" s="5"/>
    </row>
    <row r="227" spans="1:14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5"/>
    </row>
    <row r="228" spans="1:14">
      <c r="A228" s="14" t="s">
        <v>92</v>
      </c>
      <c r="B228" s="12" t="s">
        <v>201</v>
      </c>
      <c r="C228" s="12"/>
      <c r="D228" s="12"/>
      <c r="E228" s="12"/>
      <c r="F228" s="12" t="s">
        <v>201</v>
      </c>
      <c r="G228" s="12" t="s">
        <v>201</v>
      </c>
      <c r="H228" s="12"/>
      <c r="I228" s="12"/>
      <c r="J228" s="12"/>
      <c r="K228" s="12"/>
      <c r="L228" s="13">
        <f>4775+328</f>
        <v>5103</v>
      </c>
      <c r="M228" s="12" t="s">
        <v>24</v>
      </c>
      <c r="N228" s="5">
        <f>SUM(B228:L229)</f>
        <v>48907</v>
      </c>
    </row>
    <row r="229" spans="1:14">
      <c r="A229" s="13"/>
      <c r="B229" s="13">
        <v>40462</v>
      </c>
      <c r="C229" s="13"/>
      <c r="D229" s="13"/>
      <c r="E229" s="13"/>
      <c r="F229" s="13">
        <v>2730</v>
      </c>
      <c r="G229" s="13">
        <v>612</v>
      </c>
      <c r="H229" s="13"/>
      <c r="I229" s="13"/>
      <c r="J229" s="13"/>
      <c r="K229" s="12"/>
      <c r="L229" s="13"/>
      <c r="M229" s="13"/>
      <c r="N229" s="5"/>
    </row>
    <row r="230" spans="1:14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5"/>
    </row>
    <row r="231" spans="1:14">
      <c r="A231" s="33" t="s">
        <v>95</v>
      </c>
      <c r="B231" s="32" t="s">
        <v>420</v>
      </c>
      <c r="C231" s="32"/>
      <c r="D231" s="32"/>
      <c r="E231" s="32"/>
      <c r="F231" s="32" t="s">
        <v>420</v>
      </c>
      <c r="G231" s="32"/>
      <c r="H231" s="32" t="s">
        <v>675</v>
      </c>
      <c r="I231" s="32"/>
      <c r="J231" s="32"/>
      <c r="K231" s="32"/>
      <c r="L231" s="30">
        <f>5405+228</f>
        <v>5633</v>
      </c>
      <c r="M231" s="32" t="s">
        <v>421</v>
      </c>
      <c r="N231" s="5">
        <f>SUM(B231:L232)</f>
        <v>48761</v>
      </c>
    </row>
    <row r="232" spans="1:14">
      <c r="A232" s="30"/>
      <c r="B232" s="29">
        <v>39967</v>
      </c>
      <c r="C232" s="29"/>
      <c r="D232" s="29"/>
      <c r="E232" s="29"/>
      <c r="F232" s="29">
        <v>1657</v>
      </c>
      <c r="G232" s="29"/>
      <c r="H232" s="29">
        <v>1504</v>
      </c>
      <c r="I232" s="29"/>
      <c r="J232" s="29"/>
      <c r="K232" s="30"/>
      <c r="L232" s="30"/>
      <c r="M232" s="33"/>
      <c r="N232" s="5"/>
    </row>
    <row r="233" spans="1:14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5"/>
    </row>
    <row r="234" spans="1:14">
      <c r="A234" s="14" t="s">
        <v>98</v>
      </c>
      <c r="B234" s="12" t="s">
        <v>422</v>
      </c>
      <c r="C234" s="15" t="s">
        <v>676</v>
      </c>
      <c r="D234" s="12"/>
      <c r="E234" s="12" t="s">
        <v>423</v>
      </c>
      <c r="F234" s="12"/>
      <c r="G234" s="12"/>
      <c r="H234" s="12"/>
      <c r="I234" s="12"/>
      <c r="J234" s="12"/>
      <c r="K234" s="12"/>
      <c r="L234" s="13">
        <f>965+8</f>
        <v>973</v>
      </c>
      <c r="M234" s="12" t="s">
        <v>424</v>
      </c>
      <c r="N234" s="5">
        <f>SUM(B234:L235)</f>
        <v>23641</v>
      </c>
    </row>
    <row r="235" spans="1:14">
      <c r="A235" s="13"/>
      <c r="B235" s="15">
        <v>21859</v>
      </c>
      <c r="C235" s="15">
        <v>714</v>
      </c>
      <c r="D235" s="15"/>
      <c r="E235" s="13">
        <v>95</v>
      </c>
      <c r="F235" s="13"/>
      <c r="G235" s="13"/>
      <c r="H235" s="13"/>
      <c r="I235" s="13"/>
      <c r="J235" s="13"/>
      <c r="K235" s="14"/>
      <c r="L235" s="13"/>
      <c r="M235" s="14"/>
      <c r="N235" s="5"/>
    </row>
    <row r="236" spans="1:14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5"/>
    </row>
    <row r="237" spans="1:14">
      <c r="A237" s="33" t="s">
        <v>103</v>
      </c>
      <c r="B237" s="32" t="s">
        <v>203</v>
      </c>
      <c r="C237" s="32" t="s">
        <v>677</v>
      </c>
      <c r="D237" s="32"/>
      <c r="E237" s="32" t="s">
        <v>677</v>
      </c>
      <c r="F237" s="32"/>
      <c r="G237" s="32"/>
      <c r="H237" s="32"/>
      <c r="I237" s="32"/>
      <c r="J237" s="32"/>
      <c r="K237" s="32"/>
      <c r="L237" s="30">
        <f>1095+23</f>
        <v>1118</v>
      </c>
      <c r="M237" s="32" t="s">
        <v>202</v>
      </c>
      <c r="N237" s="5">
        <f>SUM(B237:L238)</f>
        <v>19539</v>
      </c>
    </row>
    <row r="238" spans="1:14">
      <c r="A238" s="30"/>
      <c r="B238" s="29">
        <v>17212</v>
      </c>
      <c r="C238" s="29">
        <v>1040</v>
      </c>
      <c r="D238" s="29"/>
      <c r="E238" s="29">
        <v>169</v>
      </c>
      <c r="F238" s="29"/>
      <c r="G238" s="29"/>
      <c r="H238" s="29"/>
      <c r="I238" s="29"/>
      <c r="J238" s="29"/>
      <c r="K238" s="33"/>
      <c r="L238" s="30"/>
      <c r="M238" s="30"/>
      <c r="N238" s="5"/>
    </row>
    <row r="239" spans="1:14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>
      <c r="A240" s="14" t="s">
        <v>109</v>
      </c>
      <c r="B240" s="12" t="s">
        <v>425</v>
      </c>
      <c r="C240" s="12" t="s">
        <v>350</v>
      </c>
      <c r="D240" s="12"/>
      <c r="E240" s="12" t="s">
        <v>678</v>
      </c>
      <c r="F240" s="12" t="s">
        <v>425</v>
      </c>
      <c r="G240" s="12"/>
      <c r="H240" s="12"/>
      <c r="I240" s="12"/>
      <c r="J240" s="12"/>
      <c r="K240" s="15"/>
      <c r="L240" s="13">
        <f>1339+6</f>
        <v>1345</v>
      </c>
      <c r="M240" s="12" t="s">
        <v>427</v>
      </c>
      <c r="N240" s="13">
        <f>SUM(B240:L241)</f>
        <v>26462</v>
      </c>
    </row>
    <row r="241" spans="1:14">
      <c r="A241" s="13"/>
      <c r="B241" s="15">
        <v>23772</v>
      </c>
      <c r="C241" s="15">
        <v>752</v>
      </c>
      <c r="D241" s="15"/>
      <c r="E241" s="15">
        <v>145</v>
      </c>
      <c r="F241" s="15">
        <v>448</v>
      </c>
      <c r="G241" s="15"/>
      <c r="H241" s="15"/>
      <c r="I241" s="15"/>
      <c r="J241" s="15"/>
      <c r="K241" s="13"/>
      <c r="L241" s="13"/>
      <c r="M241" s="13"/>
      <c r="N241" s="13"/>
    </row>
    <row r="242" spans="1:14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1:14">
      <c r="A243" s="33" t="s">
        <v>113</v>
      </c>
      <c r="B243" s="32" t="s">
        <v>679</v>
      </c>
      <c r="C243" s="32" t="s">
        <v>680</v>
      </c>
      <c r="D243" s="32"/>
      <c r="E243" s="32" t="s">
        <v>680</v>
      </c>
      <c r="F243" s="32"/>
      <c r="G243" s="32"/>
      <c r="H243" s="32"/>
      <c r="I243" s="32"/>
      <c r="J243" s="32"/>
      <c r="K243" s="29"/>
      <c r="L243" s="30">
        <f>1514+16</f>
        <v>1530</v>
      </c>
      <c r="M243" s="32" t="s">
        <v>681</v>
      </c>
      <c r="N243" s="13">
        <f>SUM(B243:L244)</f>
        <v>26085</v>
      </c>
    </row>
    <row r="244" spans="1:14">
      <c r="A244" s="30"/>
      <c r="B244" s="29">
        <v>21241</v>
      </c>
      <c r="C244" s="29">
        <v>2939</v>
      </c>
      <c r="D244" s="30"/>
      <c r="E244" s="29">
        <v>375</v>
      </c>
      <c r="F244" s="29"/>
      <c r="G244" s="29"/>
      <c r="H244" s="29"/>
      <c r="I244" s="29"/>
      <c r="J244" s="29"/>
      <c r="K244" s="30"/>
      <c r="L244" s="30"/>
      <c r="M244" s="30"/>
      <c r="N244" s="13"/>
    </row>
    <row r="245" spans="1:14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>
      <c r="A246" s="14" t="s">
        <v>124</v>
      </c>
      <c r="B246" s="12" t="s">
        <v>125</v>
      </c>
      <c r="C246" s="12" t="s">
        <v>429</v>
      </c>
      <c r="D246" s="12"/>
      <c r="E246" s="12" t="s">
        <v>429</v>
      </c>
      <c r="F246" s="12" t="s">
        <v>313</v>
      </c>
      <c r="G246" s="12" t="s">
        <v>313</v>
      </c>
      <c r="H246" s="12"/>
      <c r="I246" s="12"/>
      <c r="J246" s="12"/>
      <c r="K246" s="12"/>
      <c r="L246" s="13">
        <f>1538+73</f>
        <v>1611</v>
      </c>
      <c r="M246" s="12" t="s">
        <v>126</v>
      </c>
      <c r="N246" s="13">
        <f>SUM(B246:L247)</f>
        <v>35577</v>
      </c>
    </row>
    <row r="247" spans="1:14">
      <c r="A247" s="13"/>
      <c r="B247" s="15">
        <v>27986</v>
      </c>
      <c r="C247" s="15">
        <v>3636</v>
      </c>
      <c r="D247" s="15"/>
      <c r="E247" s="15">
        <v>573</v>
      </c>
      <c r="F247" s="15">
        <v>1462</v>
      </c>
      <c r="G247" s="15">
        <v>309</v>
      </c>
      <c r="H247" s="15"/>
      <c r="I247" s="15"/>
      <c r="J247" s="15"/>
      <c r="K247" s="15"/>
      <c r="L247" s="13"/>
      <c r="M247" s="13"/>
      <c r="N247" s="13"/>
    </row>
    <row r="248" spans="1:14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1:14">
      <c r="A249" s="33" t="s">
        <v>130</v>
      </c>
      <c r="B249" s="32" t="s">
        <v>246</v>
      </c>
      <c r="C249" s="32" t="s">
        <v>682</v>
      </c>
      <c r="D249" s="29"/>
      <c r="E249" s="32" t="s">
        <v>352</v>
      </c>
      <c r="F249" s="32"/>
      <c r="G249" s="32"/>
      <c r="H249" s="32"/>
      <c r="I249" s="32"/>
      <c r="J249" s="32"/>
      <c r="K249" s="29"/>
      <c r="L249" s="30">
        <f>1993+21</f>
        <v>2014</v>
      </c>
      <c r="M249" s="32" t="s">
        <v>247</v>
      </c>
      <c r="N249" s="13">
        <f>SUM(B249:L250)</f>
        <v>36537</v>
      </c>
    </row>
    <row r="250" spans="1:14">
      <c r="A250" s="30"/>
      <c r="B250" s="29">
        <v>28227</v>
      </c>
      <c r="C250" s="29">
        <v>5509</v>
      </c>
      <c r="D250" s="30"/>
      <c r="E250" s="29">
        <v>787</v>
      </c>
      <c r="F250" s="29"/>
      <c r="G250" s="29"/>
      <c r="H250" s="29"/>
      <c r="I250" s="29"/>
      <c r="J250" s="29"/>
      <c r="K250" s="29"/>
      <c r="L250" s="30"/>
      <c r="M250" s="30"/>
      <c r="N250" s="13"/>
    </row>
    <row r="251" spans="1:14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1:14">
      <c r="A252" s="14" t="s">
        <v>136</v>
      </c>
      <c r="B252" s="12" t="s">
        <v>204</v>
      </c>
      <c r="C252" s="12" t="s">
        <v>683</v>
      </c>
      <c r="D252" s="15"/>
      <c r="E252" s="12" t="s">
        <v>684</v>
      </c>
      <c r="F252" s="12"/>
      <c r="G252" s="12"/>
      <c r="H252" s="12"/>
      <c r="I252" s="12"/>
      <c r="J252" s="12"/>
      <c r="K252" s="15"/>
      <c r="L252" s="13">
        <v>1484</v>
      </c>
      <c r="M252" s="12" t="s">
        <v>205</v>
      </c>
      <c r="N252" s="13">
        <f>SUM(B252:L253)</f>
        <v>31273</v>
      </c>
    </row>
    <row r="253" spans="1:14">
      <c r="A253" s="13"/>
      <c r="B253" s="15">
        <v>28792</v>
      </c>
      <c r="C253" s="15">
        <v>632</v>
      </c>
      <c r="D253" s="15"/>
      <c r="E253" s="15">
        <v>365</v>
      </c>
      <c r="F253" s="15"/>
      <c r="G253" s="15"/>
      <c r="H253" s="15"/>
      <c r="I253" s="15"/>
      <c r="J253" s="15"/>
      <c r="K253" s="15"/>
      <c r="L253" s="13"/>
      <c r="M253" s="13"/>
      <c r="N253" s="13"/>
    </row>
    <row r="254" spans="1:14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1:14">
      <c r="A255" s="33" t="s">
        <v>140</v>
      </c>
      <c r="B255" s="29" t="s">
        <v>229</v>
      </c>
      <c r="C255" s="32" t="s">
        <v>531</v>
      </c>
      <c r="D255" s="29"/>
      <c r="E255" s="32" t="s">
        <v>685</v>
      </c>
      <c r="F255" s="32" t="s">
        <v>686</v>
      </c>
      <c r="G255" s="32"/>
      <c r="H255" s="32"/>
      <c r="I255" s="32"/>
      <c r="J255" s="32"/>
      <c r="K255" s="29"/>
      <c r="L255" s="30">
        <f>1261+14</f>
        <v>1275</v>
      </c>
      <c r="M255" s="32" t="s">
        <v>88</v>
      </c>
      <c r="N255" s="13">
        <f>SUM(B255:L256)</f>
        <v>23195</v>
      </c>
    </row>
    <row r="256" spans="1:14">
      <c r="A256" s="30"/>
      <c r="B256" s="29">
        <v>19689</v>
      </c>
      <c r="C256" s="29">
        <v>842</v>
      </c>
      <c r="D256" s="30"/>
      <c r="E256" s="30">
        <v>180</v>
      </c>
      <c r="F256" s="30">
        <v>1209</v>
      </c>
      <c r="G256" s="30"/>
      <c r="H256" s="30"/>
      <c r="I256" s="30"/>
      <c r="J256" s="30"/>
      <c r="K256" s="29"/>
      <c r="L256" s="30"/>
      <c r="M256" s="30"/>
      <c r="N256" s="13"/>
    </row>
    <row r="257" spans="1:14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>
      <c r="A258" s="14" t="s">
        <v>144</v>
      </c>
      <c r="B258" s="15" t="s">
        <v>281</v>
      </c>
      <c r="C258" s="12" t="s">
        <v>687</v>
      </c>
      <c r="D258" s="15"/>
      <c r="E258" s="12" t="s">
        <v>688</v>
      </c>
      <c r="F258" s="12"/>
      <c r="G258" s="12"/>
      <c r="H258" s="12"/>
      <c r="I258" s="12"/>
      <c r="J258" s="12"/>
      <c r="K258" s="15"/>
      <c r="L258" s="13">
        <f>1233+23</f>
        <v>1256</v>
      </c>
      <c r="M258" s="12" t="s">
        <v>314</v>
      </c>
      <c r="N258" s="13">
        <f>SUM(B258:L259)</f>
        <v>23011</v>
      </c>
    </row>
    <row r="259" spans="1:14">
      <c r="A259" s="13"/>
      <c r="B259" s="15">
        <v>20783</v>
      </c>
      <c r="C259" s="13">
        <v>805</v>
      </c>
      <c r="D259" s="15"/>
      <c r="E259" s="13">
        <v>167</v>
      </c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1:14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1:14">
      <c r="A261" s="33" t="s">
        <v>148</v>
      </c>
      <c r="B261" s="29" t="s">
        <v>396</v>
      </c>
      <c r="C261" s="29" t="s">
        <v>689</v>
      </c>
      <c r="D261" s="29"/>
      <c r="E261" s="29" t="s">
        <v>431</v>
      </c>
      <c r="F261" s="29" t="s">
        <v>396</v>
      </c>
      <c r="G261" s="29"/>
      <c r="H261" s="29"/>
      <c r="I261" s="29"/>
      <c r="J261" s="29"/>
      <c r="K261" s="29"/>
      <c r="L261" s="29">
        <v>1087</v>
      </c>
      <c r="M261" s="29" t="s">
        <v>432</v>
      </c>
      <c r="N261" s="13">
        <f>SUM(B261:L262)</f>
        <v>20744</v>
      </c>
    </row>
    <row r="262" spans="1:14">
      <c r="A262" s="30"/>
      <c r="B262" s="30">
        <v>18515</v>
      </c>
      <c r="C262" s="30">
        <v>748</v>
      </c>
      <c r="D262" s="30"/>
      <c r="E262" s="30">
        <v>96</v>
      </c>
      <c r="F262" s="30">
        <v>298</v>
      </c>
      <c r="G262" s="30"/>
      <c r="H262" s="30"/>
      <c r="I262" s="30"/>
      <c r="J262" s="30"/>
      <c r="K262" s="30"/>
      <c r="L262" s="30"/>
      <c r="M262" s="30"/>
      <c r="N262" s="13"/>
    </row>
    <row r="263" spans="1:14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1:14">
      <c r="A264" s="14" t="s">
        <v>153</v>
      </c>
      <c r="B264" s="15" t="s">
        <v>690</v>
      </c>
      <c r="C264" s="12" t="s">
        <v>691</v>
      </c>
      <c r="D264" s="12"/>
      <c r="E264" s="15" t="s">
        <v>355</v>
      </c>
      <c r="F264" s="15" t="s">
        <v>690</v>
      </c>
      <c r="G264" s="15"/>
      <c r="H264" s="15"/>
      <c r="I264" s="15"/>
      <c r="J264" s="15"/>
      <c r="K264" s="15"/>
      <c r="L264" s="15">
        <f>1330+18</f>
        <v>1348</v>
      </c>
      <c r="M264" s="12" t="s">
        <v>692</v>
      </c>
      <c r="N264" s="13">
        <f>SUM(B264:L265)</f>
        <v>26501</v>
      </c>
    </row>
    <row r="265" spans="1:14">
      <c r="A265" s="13"/>
      <c r="B265" s="15">
        <v>23150</v>
      </c>
      <c r="C265" s="15">
        <v>1196</v>
      </c>
      <c r="D265" s="15"/>
      <c r="E265" s="13">
        <v>227</v>
      </c>
      <c r="F265" s="13">
        <v>580</v>
      </c>
      <c r="G265" s="13"/>
      <c r="H265" s="13"/>
      <c r="I265" s="13"/>
      <c r="J265" s="13"/>
      <c r="K265" s="13"/>
      <c r="L265" s="13"/>
      <c r="M265" s="13"/>
      <c r="N265" s="13"/>
    </row>
    <row r="266" spans="1:14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1:14">
      <c r="A267" s="33" t="s">
        <v>161</v>
      </c>
      <c r="B267" s="29" t="s">
        <v>206</v>
      </c>
      <c r="C267" s="32"/>
      <c r="D267" s="32"/>
      <c r="E267" s="29"/>
      <c r="F267" s="29" t="s">
        <v>206</v>
      </c>
      <c r="G267" s="29" t="s">
        <v>206</v>
      </c>
      <c r="H267" s="29" t="s">
        <v>206</v>
      </c>
      <c r="I267" s="29"/>
      <c r="J267" s="29"/>
      <c r="K267" s="29"/>
      <c r="L267" s="29">
        <f>13351+320</f>
        <v>13671</v>
      </c>
      <c r="M267" s="32" t="s">
        <v>207</v>
      </c>
      <c r="N267" s="13">
        <f>SUM(B267:L268)</f>
        <v>53162</v>
      </c>
    </row>
    <row r="268" spans="1:14">
      <c r="A268" s="30"/>
      <c r="B268" s="29">
        <v>36379</v>
      </c>
      <c r="C268" s="29"/>
      <c r="D268" s="29"/>
      <c r="E268" s="30"/>
      <c r="F268" s="30">
        <v>1921</v>
      </c>
      <c r="G268" s="30">
        <v>720</v>
      </c>
      <c r="H268" s="30">
        <v>471</v>
      </c>
      <c r="I268" s="30"/>
      <c r="J268" s="30"/>
      <c r="K268" s="30"/>
      <c r="L268" s="30"/>
      <c r="M268" s="30"/>
      <c r="N268" s="13"/>
    </row>
    <row r="269" spans="1:14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1:14">
      <c r="A270" s="14" t="s">
        <v>167</v>
      </c>
      <c r="B270" s="15" t="s">
        <v>189</v>
      </c>
      <c r="C270" s="15"/>
      <c r="D270" s="15"/>
      <c r="E270" s="15"/>
      <c r="F270" s="15"/>
      <c r="G270" s="15"/>
      <c r="H270" s="15"/>
      <c r="I270" s="15"/>
      <c r="J270" s="15"/>
      <c r="K270" s="15"/>
      <c r="L270" s="15">
        <f>6222+127</f>
        <v>6349</v>
      </c>
      <c r="M270" s="12" t="s">
        <v>433</v>
      </c>
      <c r="N270" s="13">
        <f>SUM(B270:L271)</f>
        <v>34463</v>
      </c>
    </row>
    <row r="271" spans="1:14">
      <c r="A271" s="13"/>
      <c r="B271" s="15">
        <v>28114</v>
      </c>
      <c r="C271" s="15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1:14">
      <c r="A273" s="33" t="s">
        <v>172</v>
      </c>
      <c r="B273" s="29" t="s">
        <v>693</v>
      </c>
      <c r="C273" s="32" t="s">
        <v>694</v>
      </c>
      <c r="D273" s="29" t="s">
        <v>693</v>
      </c>
      <c r="E273" s="29" t="s">
        <v>694</v>
      </c>
      <c r="F273" s="29" t="s">
        <v>693</v>
      </c>
      <c r="G273" s="29" t="s">
        <v>693</v>
      </c>
      <c r="H273" s="29" t="s">
        <v>693</v>
      </c>
      <c r="I273" s="29" t="s">
        <v>693</v>
      </c>
      <c r="J273" s="29"/>
      <c r="K273" s="29"/>
      <c r="L273" s="30">
        <f>1954+24</f>
        <v>1978</v>
      </c>
      <c r="M273" s="32" t="s">
        <v>695</v>
      </c>
      <c r="N273" s="13">
        <f>SUM(B273:L274)</f>
        <v>38363</v>
      </c>
    </row>
    <row r="274" spans="1:14">
      <c r="A274" s="30"/>
      <c r="B274" s="29">
        <v>22276</v>
      </c>
      <c r="C274" s="29">
        <v>10772</v>
      </c>
      <c r="D274" s="30">
        <v>437</v>
      </c>
      <c r="E274" s="30">
        <v>1860</v>
      </c>
      <c r="F274" s="30">
        <v>554</v>
      </c>
      <c r="G274" s="30">
        <v>227</v>
      </c>
      <c r="H274" s="30">
        <v>58</v>
      </c>
      <c r="I274" s="30">
        <v>201</v>
      </c>
      <c r="J274" s="30"/>
      <c r="K274" s="30"/>
      <c r="L274" s="30"/>
      <c r="M274" s="30"/>
      <c r="N274" s="13"/>
    </row>
    <row r="275" spans="1:14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1:14">
      <c r="A276" s="14" t="s">
        <v>177</v>
      </c>
      <c r="B276" s="15" t="s">
        <v>359</v>
      </c>
      <c r="C276" s="12"/>
      <c r="D276" s="12"/>
      <c r="E276" s="12"/>
      <c r="F276" s="12" t="s">
        <v>359</v>
      </c>
      <c r="G276" s="12" t="s">
        <v>359</v>
      </c>
      <c r="H276" s="12"/>
      <c r="I276" s="12"/>
      <c r="J276" s="12"/>
      <c r="K276" s="15"/>
      <c r="L276" s="15">
        <f>10804+156</f>
        <v>10960</v>
      </c>
      <c r="M276" s="12" t="s">
        <v>360</v>
      </c>
      <c r="N276" s="13">
        <f>SUM(B276:L277)</f>
        <v>41818</v>
      </c>
    </row>
    <row r="277" spans="1:14">
      <c r="A277" s="13"/>
      <c r="B277" s="13">
        <v>28876</v>
      </c>
      <c r="C277" s="14"/>
      <c r="D277" s="13"/>
      <c r="E277" s="13"/>
      <c r="F277" s="13">
        <v>1375</v>
      </c>
      <c r="G277" s="13">
        <v>607</v>
      </c>
      <c r="H277" s="13"/>
      <c r="I277" s="13"/>
      <c r="J277" s="13"/>
      <c r="K277" s="13"/>
      <c r="L277" s="13"/>
      <c r="M277" s="13"/>
      <c r="N277" s="13"/>
    </row>
    <row r="278" spans="1:14">
      <c r="A278" s="13"/>
      <c r="B278" s="13"/>
      <c r="C278" s="14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4">
      <c r="A279" s="33" t="s">
        <v>6</v>
      </c>
      <c r="B279" s="29" t="s">
        <v>315</v>
      </c>
      <c r="C279" s="32"/>
      <c r="D279" s="29"/>
      <c r="E279" s="29"/>
      <c r="F279" s="29" t="s">
        <v>315</v>
      </c>
      <c r="G279" s="29"/>
      <c r="H279" s="29" t="s">
        <v>315</v>
      </c>
      <c r="I279" s="29"/>
      <c r="J279" s="29"/>
      <c r="K279" s="29"/>
      <c r="L279" s="29">
        <f>13938+290</f>
        <v>14228</v>
      </c>
      <c r="M279" s="32" t="s">
        <v>316</v>
      </c>
      <c r="N279" s="13">
        <f>SUM(B279:L280)</f>
        <v>55590</v>
      </c>
    </row>
    <row r="280" spans="1:14">
      <c r="A280" s="30"/>
      <c r="B280" s="30">
        <v>38257</v>
      </c>
      <c r="C280" s="30"/>
      <c r="D280" s="30"/>
      <c r="E280" s="30"/>
      <c r="F280" s="30">
        <v>2317</v>
      </c>
      <c r="G280" s="30"/>
      <c r="H280" s="30">
        <v>788</v>
      </c>
      <c r="I280" s="30"/>
      <c r="J280" s="30"/>
      <c r="K280" s="30"/>
      <c r="L280" s="30"/>
      <c r="M280" s="30"/>
      <c r="N280" s="13"/>
    </row>
    <row r="281" spans="1:14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1:14">
      <c r="A282" s="14" t="s">
        <v>13</v>
      </c>
      <c r="B282" s="15" t="s">
        <v>361</v>
      </c>
      <c r="C282" s="15" t="s">
        <v>696</v>
      </c>
      <c r="D282" s="15" t="s">
        <v>361</v>
      </c>
      <c r="E282" s="15" t="s">
        <v>696</v>
      </c>
      <c r="F282" s="15" t="s">
        <v>361</v>
      </c>
      <c r="G282" s="15" t="s">
        <v>361</v>
      </c>
      <c r="H282" s="15" t="s">
        <v>361</v>
      </c>
      <c r="I282" s="15"/>
      <c r="J282" s="15"/>
      <c r="K282" s="15"/>
      <c r="L282" s="15">
        <f>2005+20</f>
        <v>2025</v>
      </c>
      <c r="M282" s="12" t="s">
        <v>362</v>
      </c>
      <c r="N282" s="13">
        <f>SUM(B282:L283)</f>
        <v>53319</v>
      </c>
    </row>
    <row r="283" spans="1:14">
      <c r="A283" s="13"/>
      <c r="B283" s="13">
        <v>33543</v>
      </c>
      <c r="C283" s="13">
        <v>13964</v>
      </c>
      <c r="D283" s="13">
        <v>754</v>
      </c>
      <c r="E283" s="13">
        <v>1796</v>
      </c>
      <c r="F283" s="13">
        <v>781</v>
      </c>
      <c r="G283" s="13">
        <v>347</v>
      </c>
      <c r="H283" s="13">
        <v>109</v>
      </c>
      <c r="I283" s="13"/>
      <c r="J283" s="13"/>
      <c r="K283" s="13"/>
      <c r="L283" s="13"/>
      <c r="M283" s="13"/>
      <c r="N283" s="13"/>
    </row>
    <row r="284" spans="1:14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1:14">
      <c r="A285" s="33" t="s">
        <v>22</v>
      </c>
      <c r="B285" s="29" t="s">
        <v>697</v>
      </c>
      <c r="C285" s="29" t="s">
        <v>534</v>
      </c>
      <c r="D285" s="29" t="s">
        <v>697</v>
      </c>
      <c r="E285" s="29" t="s">
        <v>534</v>
      </c>
      <c r="F285" s="29" t="s">
        <v>697</v>
      </c>
      <c r="G285" s="29" t="s">
        <v>697</v>
      </c>
      <c r="H285" s="29" t="s">
        <v>534</v>
      </c>
      <c r="I285" s="29"/>
      <c r="J285" s="29"/>
      <c r="K285" s="29"/>
      <c r="L285" s="30">
        <f>2374+10</f>
        <v>2384</v>
      </c>
      <c r="M285" s="32" t="s">
        <v>535</v>
      </c>
      <c r="N285" s="13">
        <f>SUM(B285:L286)</f>
        <v>55037</v>
      </c>
    </row>
    <row r="286" spans="1:14">
      <c r="A286" s="30"/>
      <c r="B286" s="30">
        <v>21604</v>
      </c>
      <c r="C286" s="30">
        <v>25615</v>
      </c>
      <c r="D286" s="30">
        <v>617</v>
      </c>
      <c r="E286" s="30">
        <v>3642</v>
      </c>
      <c r="F286" s="30">
        <v>643</v>
      </c>
      <c r="G286" s="30">
        <v>298</v>
      </c>
      <c r="H286" s="30">
        <v>234</v>
      </c>
      <c r="I286" s="30"/>
      <c r="J286" s="30"/>
      <c r="K286" s="30"/>
      <c r="L286" s="30"/>
      <c r="M286" s="30"/>
      <c r="N286" s="13"/>
    </row>
    <row r="287" spans="1:14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1:14">
      <c r="A288" s="14" t="s">
        <v>28</v>
      </c>
      <c r="B288" s="15" t="s">
        <v>230</v>
      </c>
      <c r="C288" s="12" t="s">
        <v>698</v>
      </c>
      <c r="D288" s="12"/>
      <c r="E288" s="15" t="s">
        <v>698</v>
      </c>
      <c r="F288" s="15" t="s">
        <v>230</v>
      </c>
      <c r="G288" s="15" t="s">
        <v>230</v>
      </c>
      <c r="H288" s="15" t="s">
        <v>230</v>
      </c>
      <c r="I288" s="15"/>
      <c r="J288" s="15"/>
      <c r="K288" s="15"/>
      <c r="L288" s="13">
        <f>2072+12</f>
        <v>2084</v>
      </c>
      <c r="M288" s="12" t="s">
        <v>173</v>
      </c>
      <c r="N288" s="13">
        <f>SUM(B288:L289)</f>
        <v>47963</v>
      </c>
    </row>
    <row r="289" spans="1:14">
      <c r="A289" s="13"/>
      <c r="B289" s="13">
        <v>29299</v>
      </c>
      <c r="C289" s="13">
        <v>12406</v>
      </c>
      <c r="D289" s="13"/>
      <c r="E289" s="13">
        <v>2089</v>
      </c>
      <c r="F289" s="13">
        <v>1398</v>
      </c>
      <c r="G289" s="13">
        <v>528</v>
      </c>
      <c r="H289" s="13">
        <v>159</v>
      </c>
      <c r="I289" s="13"/>
      <c r="J289" s="13"/>
      <c r="K289" s="13"/>
      <c r="L289" s="13"/>
      <c r="M289" s="13"/>
      <c r="N289" s="13"/>
    </row>
    <row r="290" spans="1:14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1:14">
      <c r="A291" s="33" t="s">
        <v>32</v>
      </c>
      <c r="B291" s="29" t="s">
        <v>248</v>
      </c>
      <c r="C291" s="32"/>
      <c r="D291" s="29"/>
      <c r="E291" s="32"/>
      <c r="F291" s="32" t="s">
        <v>248</v>
      </c>
      <c r="G291" s="32" t="s">
        <v>248</v>
      </c>
      <c r="H291" s="32" t="s">
        <v>248</v>
      </c>
      <c r="I291" s="32"/>
      <c r="J291" s="32"/>
      <c r="K291" s="29"/>
      <c r="L291" s="30">
        <f>13162+2+248</f>
        <v>13412</v>
      </c>
      <c r="M291" s="32" t="s">
        <v>283</v>
      </c>
      <c r="N291" s="13">
        <f>SUM(B291:L292)</f>
        <v>49234</v>
      </c>
    </row>
    <row r="292" spans="1:14">
      <c r="A292" s="30"/>
      <c r="B292" s="30">
        <v>30381</v>
      </c>
      <c r="C292" s="30"/>
      <c r="D292" s="30"/>
      <c r="E292" s="30"/>
      <c r="F292" s="30">
        <v>2108</v>
      </c>
      <c r="G292" s="30">
        <v>677</v>
      </c>
      <c r="H292" s="30">
        <v>2656</v>
      </c>
      <c r="I292" s="30"/>
      <c r="J292" s="30"/>
      <c r="K292" s="30"/>
      <c r="L292" s="30"/>
      <c r="M292" s="30" t="s">
        <v>33</v>
      </c>
      <c r="N292" s="13"/>
    </row>
    <row r="293" spans="1:14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1:14">
      <c r="A294" s="14" t="s">
        <v>39</v>
      </c>
      <c r="B294" s="15" t="s">
        <v>267</v>
      </c>
      <c r="C294" s="12" t="s">
        <v>699</v>
      </c>
      <c r="D294" s="12"/>
      <c r="E294" s="12" t="s">
        <v>699</v>
      </c>
      <c r="F294" s="15" t="s">
        <v>267</v>
      </c>
      <c r="G294" s="15" t="s">
        <v>267</v>
      </c>
      <c r="H294" s="15" t="s">
        <v>267</v>
      </c>
      <c r="I294" s="15"/>
      <c r="J294" s="15"/>
      <c r="K294" s="15"/>
      <c r="L294" s="13">
        <f>4125+37+25</f>
        <v>4187</v>
      </c>
      <c r="M294" s="12" t="s">
        <v>268</v>
      </c>
      <c r="N294" s="13">
        <f>SUM(B294:L295)</f>
        <v>42410</v>
      </c>
    </row>
    <row r="295" spans="1:14">
      <c r="A295" s="13"/>
      <c r="B295" s="13">
        <v>22855</v>
      </c>
      <c r="C295" s="13">
        <v>11169</v>
      </c>
      <c r="D295" s="13"/>
      <c r="E295" s="13">
        <v>1954</v>
      </c>
      <c r="F295" s="13">
        <v>742</v>
      </c>
      <c r="G295" s="13">
        <v>528</v>
      </c>
      <c r="H295" s="13">
        <v>975</v>
      </c>
      <c r="I295" s="13"/>
      <c r="J295" s="13"/>
      <c r="K295" s="13"/>
      <c r="L295" s="13"/>
      <c r="M295" s="13"/>
      <c r="N295" s="13"/>
    </row>
    <row r="296" spans="1:14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1:14">
      <c r="A297" s="33" t="s">
        <v>48</v>
      </c>
      <c r="B297" s="29" t="s">
        <v>700</v>
      </c>
      <c r="C297" s="32" t="s">
        <v>434</v>
      </c>
      <c r="D297" s="29" t="s">
        <v>434</v>
      </c>
      <c r="E297" s="29" t="s">
        <v>434</v>
      </c>
      <c r="F297" s="29" t="s">
        <v>700</v>
      </c>
      <c r="G297" s="29" t="s">
        <v>700</v>
      </c>
      <c r="H297" s="29" t="s">
        <v>434</v>
      </c>
      <c r="I297" s="29"/>
      <c r="J297" s="29"/>
      <c r="K297" s="29"/>
      <c r="L297" s="30">
        <f>2202+8+25</f>
        <v>2235</v>
      </c>
      <c r="M297" s="32" t="s">
        <v>435</v>
      </c>
      <c r="N297" s="13">
        <f>SUM(B297:L298)</f>
        <v>48840</v>
      </c>
    </row>
    <row r="298" spans="1:14">
      <c r="A298" s="30"/>
      <c r="B298" s="30">
        <v>13939</v>
      </c>
      <c r="C298" s="30">
        <v>24985</v>
      </c>
      <c r="D298" s="30">
        <v>4240</v>
      </c>
      <c r="E298" s="30">
        <v>2394</v>
      </c>
      <c r="F298" s="30">
        <v>581</v>
      </c>
      <c r="G298" s="30">
        <v>314</v>
      </c>
      <c r="H298" s="30">
        <v>152</v>
      </c>
      <c r="I298" s="30"/>
      <c r="J298" s="30"/>
      <c r="K298" s="29"/>
      <c r="L298" s="30"/>
      <c r="M298" s="30"/>
      <c r="N298" s="13"/>
    </row>
    <row r="299" spans="1:14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1:14">
      <c r="A300" s="14" t="s">
        <v>56</v>
      </c>
      <c r="B300" s="15" t="s">
        <v>701</v>
      </c>
      <c r="C300" s="12" t="s">
        <v>541</v>
      </c>
      <c r="D300" s="12" t="s">
        <v>541</v>
      </c>
      <c r="E300" s="12" t="s">
        <v>541</v>
      </c>
      <c r="F300" s="12" t="s">
        <v>701</v>
      </c>
      <c r="G300" s="12" t="s">
        <v>701</v>
      </c>
      <c r="H300" s="12" t="s">
        <v>541</v>
      </c>
      <c r="I300" s="12"/>
      <c r="J300" s="12"/>
      <c r="K300" s="15"/>
      <c r="L300" s="13">
        <f>2681+3+13</f>
        <v>2697</v>
      </c>
      <c r="M300" s="12" t="s">
        <v>702</v>
      </c>
      <c r="N300" s="13">
        <f>SUM(B300:L301)</f>
        <v>50011</v>
      </c>
    </row>
    <row r="301" spans="1:14">
      <c r="A301" s="13"/>
      <c r="B301" s="13">
        <v>21160</v>
      </c>
      <c r="C301" s="13">
        <v>20857</v>
      </c>
      <c r="D301" s="13">
        <v>635</v>
      </c>
      <c r="E301" s="13">
        <v>3088</v>
      </c>
      <c r="F301" s="13">
        <v>758</v>
      </c>
      <c r="G301" s="13">
        <v>380</v>
      </c>
      <c r="H301" s="13">
        <v>436</v>
      </c>
      <c r="I301" s="13"/>
      <c r="J301" s="13"/>
      <c r="K301" s="13"/>
      <c r="L301" s="13"/>
      <c r="M301" s="13"/>
      <c r="N301" s="13"/>
    </row>
    <row r="302" spans="1:14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>
      <c r="A303" s="33" t="s">
        <v>330</v>
      </c>
      <c r="B303" s="29" t="s">
        <v>241</v>
      </c>
      <c r="C303" s="32"/>
      <c r="D303" s="32" t="s">
        <v>241</v>
      </c>
      <c r="E303" s="29"/>
      <c r="F303" s="29" t="s">
        <v>241</v>
      </c>
      <c r="G303" s="29"/>
      <c r="H303" s="29"/>
      <c r="I303" s="29"/>
      <c r="J303" s="29"/>
      <c r="K303" s="29"/>
      <c r="L303" s="30">
        <f>14187+12+159</f>
        <v>14358</v>
      </c>
      <c r="M303" s="32" t="s">
        <v>242</v>
      </c>
      <c r="N303" s="13">
        <f>SUM(B303:L304)</f>
        <v>41705</v>
      </c>
    </row>
    <row r="304" spans="1:14">
      <c r="A304" s="30"/>
      <c r="B304" s="30">
        <v>23187</v>
      </c>
      <c r="C304" s="30"/>
      <c r="D304" s="30">
        <v>2020</v>
      </c>
      <c r="E304" s="30"/>
      <c r="F304" s="30">
        <v>2140</v>
      </c>
      <c r="G304" s="30"/>
      <c r="H304" s="30"/>
      <c r="I304" s="30"/>
      <c r="J304" s="30"/>
      <c r="K304" s="30"/>
      <c r="L304" s="30"/>
      <c r="M304" s="30"/>
      <c r="N304" s="13"/>
    </row>
    <row r="305" spans="1:14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1:14">
      <c r="A306" s="14" t="s">
        <v>63</v>
      </c>
      <c r="B306" s="15" t="s">
        <v>703</v>
      </c>
      <c r="C306" s="15" t="s">
        <v>231</v>
      </c>
      <c r="D306" s="15" t="s">
        <v>231</v>
      </c>
      <c r="E306" s="15" t="s">
        <v>231</v>
      </c>
      <c r="F306" s="15" t="s">
        <v>703</v>
      </c>
      <c r="G306" s="15" t="s">
        <v>703</v>
      </c>
      <c r="H306" s="15" t="s">
        <v>231</v>
      </c>
      <c r="I306" s="15"/>
      <c r="J306" s="15"/>
      <c r="K306" s="15"/>
      <c r="L306" s="13">
        <f>2049+10+13</f>
        <v>2072</v>
      </c>
      <c r="M306" s="12" t="s">
        <v>544</v>
      </c>
      <c r="N306" s="13">
        <f>SUM(B306:L307)</f>
        <v>40011</v>
      </c>
    </row>
    <row r="307" spans="1:14">
      <c r="A307" s="13"/>
      <c r="B307" s="13">
        <v>14596</v>
      </c>
      <c r="C307" s="13">
        <v>19279</v>
      </c>
      <c r="D307" s="13">
        <v>557</v>
      </c>
      <c r="E307" s="13">
        <v>2332</v>
      </c>
      <c r="F307" s="13">
        <v>726</v>
      </c>
      <c r="G307" s="13">
        <v>329</v>
      </c>
      <c r="H307" s="13">
        <v>120</v>
      </c>
      <c r="I307" s="13"/>
      <c r="J307" s="13"/>
      <c r="K307" s="13"/>
      <c r="L307" s="13"/>
      <c r="M307" s="13"/>
      <c r="N307" s="13"/>
    </row>
    <row r="308" spans="1:14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>
      <c r="A309" s="33" t="s">
        <v>70</v>
      </c>
      <c r="B309" s="29" t="s">
        <v>704</v>
      </c>
      <c r="C309" s="32" t="s">
        <v>705</v>
      </c>
      <c r="D309" s="32" t="s">
        <v>705</v>
      </c>
      <c r="E309" s="32" t="s">
        <v>705</v>
      </c>
      <c r="F309" s="32" t="s">
        <v>704</v>
      </c>
      <c r="G309" s="32" t="s">
        <v>704</v>
      </c>
      <c r="H309" s="32" t="s">
        <v>705</v>
      </c>
      <c r="I309" s="32"/>
      <c r="J309" s="32"/>
      <c r="K309" s="29"/>
      <c r="L309" s="30">
        <f>1701+22+11</f>
        <v>1734</v>
      </c>
      <c r="M309" s="32" t="s">
        <v>706</v>
      </c>
      <c r="N309" s="13">
        <f>SUM(B309:L310)</f>
        <v>55295</v>
      </c>
    </row>
    <row r="310" spans="1:14">
      <c r="A310" s="30"/>
      <c r="B310" s="30">
        <v>21058</v>
      </c>
      <c r="C310" s="30">
        <v>24761</v>
      </c>
      <c r="D310" s="30">
        <v>858</v>
      </c>
      <c r="E310" s="30">
        <v>4289</v>
      </c>
      <c r="F310" s="30">
        <v>1698</v>
      </c>
      <c r="G310" s="30">
        <v>676</v>
      </c>
      <c r="H310" s="30">
        <v>221</v>
      </c>
      <c r="I310" s="30"/>
      <c r="J310" s="30"/>
      <c r="K310" s="30"/>
      <c r="L310" s="30"/>
      <c r="M310" s="30"/>
      <c r="N310" s="13"/>
    </row>
    <row r="311" spans="1:14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1:14">
      <c r="A312" s="14" t="s">
        <v>78</v>
      </c>
      <c r="B312" s="15" t="s">
        <v>190</v>
      </c>
      <c r="C312" s="12"/>
      <c r="D312" s="12"/>
      <c r="E312" s="12"/>
      <c r="F312" s="12" t="s">
        <v>190</v>
      </c>
      <c r="G312" s="12"/>
      <c r="H312" s="12"/>
      <c r="I312" s="12"/>
      <c r="J312" s="12"/>
      <c r="K312" s="15"/>
      <c r="L312" s="13">
        <f>17787+33+219</f>
        <v>18039</v>
      </c>
      <c r="M312" s="12" t="s">
        <v>208</v>
      </c>
      <c r="N312" s="13">
        <f>SUM(B312:L313)</f>
        <v>64218</v>
      </c>
    </row>
    <row r="313" spans="1:14">
      <c r="A313" s="13"/>
      <c r="B313" s="13">
        <v>39711</v>
      </c>
      <c r="C313" s="13"/>
      <c r="D313" s="13"/>
      <c r="E313" s="13"/>
      <c r="F313" s="13">
        <v>6468</v>
      </c>
      <c r="G313" s="13"/>
      <c r="H313" s="13"/>
      <c r="I313" s="13"/>
      <c r="J313" s="13"/>
      <c r="K313" s="13"/>
      <c r="L313" s="13"/>
      <c r="M313" s="13"/>
      <c r="N313" s="13"/>
    </row>
    <row r="314" spans="1:14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1:14">
      <c r="A315" s="33" t="s">
        <v>84</v>
      </c>
      <c r="B315" s="29" t="s">
        <v>707</v>
      </c>
      <c r="C315" s="36" t="s">
        <v>708</v>
      </c>
      <c r="D315" s="32"/>
      <c r="E315" s="32" t="s">
        <v>708</v>
      </c>
      <c r="F315" s="29"/>
      <c r="G315" s="29"/>
      <c r="H315" s="29"/>
      <c r="I315" s="29"/>
      <c r="J315" s="29"/>
      <c r="K315" s="29"/>
      <c r="L315" s="30">
        <f>2512+4+27</f>
        <v>2543</v>
      </c>
      <c r="M315" s="32" t="s">
        <v>709</v>
      </c>
      <c r="N315" s="13">
        <f>SUM(B315:L316)</f>
        <v>38476</v>
      </c>
    </row>
    <row r="316" spans="1:14">
      <c r="A316" s="30"/>
      <c r="B316" s="30">
        <v>21585</v>
      </c>
      <c r="C316" s="30">
        <v>12431</v>
      </c>
      <c r="D316" s="30"/>
      <c r="E316" s="30">
        <v>1917</v>
      </c>
      <c r="F316" s="30"/>
      <c r="G316" s="30"/>
      <c r="H316" s="30"/>
      <c r="I316" s="30"/>
      <c r="J316" s="30"/>
      <c r="K316" s="30"/>
      <c r="L316" s="30"/>
      <c r="M316" s="30"/>
      <c r="N316" s="13"/>
    </row>
    <row r="317" spans="1:14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1:14">
      <c r="A318" s="14" t="s">
        <v>89</v>
      </c>
      <c r="B318" s="15" t="s">
        <v>710</v>
      </c>
      <c r="C318" s="12" t="s">
        <v>365</v>
      </c>
      <c r="D318" s="12" t="s">
        <v>365</v>
      </c>
      <c r="E318" s="15" t="s">
        <v>365</v>
      </c>
      <c r="F318" s="15" t="s">
        <v>710</v>
      </c>
      <c r="G318" s="15" t="s">
        <v>710</v>
      </c>
      <c r="H318" s="15" t="s">
        <v>365</v>
      </c>
      <c r="I318" s="15"/>
      <c r="J318" s="15"/>
      <c r="K318" s="15"/>
      <c r="L318" s="13">
        <f>2538-2+14</f>
        <v>2550</v>
      </c>
      <c r="M318" s="12" t="s">
        <v>437</v>
      </c>
      <c r="N318" s="13">
        <f>SUM(B318:L319)</f>
        <v>53915</v>
      </c>
    </row>
    <row r="319" spans="1:14">
      <c r="A319" s="13"/>
      <c r="B319" s="13">
        <v>20833</v>
      </c>
      <c r="C319" s="13">
        <v>24654</v>
      </c>
      <c r="D319" s="13">
        <v>745</v>
      </c>
      <c r="E319" s="13">
        <v>3925</v>
      </c>
      <c r="F319" s="13">
        <v>699</v>
      </c>
      <c r="G319" s="13">
        <v>346</v>
      </c>
      <c r="H319" s="13">
        <v>163</v>
      </c>
      <c r="I319" s="13"/>
      <c r="J319" s="13"/>
      <c r="K319" s="13"/>
      <c r="L319" s="13"/>
      <c r="M319" s="13"/>
      <c r="N319" s="13"/>
    </row>
    <row r="320" spans="1:14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>
      <c r="A321" s="33" t="s">
        <v>96</v>
      </c>
      <c r="B321" s="29" t="s">
        <v>366</v>
      </c>
      <c r="C321" s="32" t="s">
        <v>711</v>
      </c>
      <c r="D321" s="29" t="s">
        <v>366</v>
      </c>
      <c r="E321" s="32" t="s">
        <v>711</v>
      </c>
      <c r="F321" s="32" t="s">
        <v>366</v>
      </c>
      <c r="G321" s="32" t="s">
        <v>711</v>
      </c>
      <c r="H321" s="32" t="s">
        <v>711</v>
      </c>
      <c r="I321" s="32"/>
      <c r="J321" s="32"/>
      <c r="K321" s="29"/>
      <c r="L321" s="30">
        <f>1695+24+18</f>
        <v>1737</v>
      </c>
      <c r="M321" s="32" t="s">
        <v>367</v>
      </c>
      <c r="N321" s="13">
        <f>SUM(B321:L322)</f>
        <v>53681</v>
      </c>
    </row>
    <row r="322" spans="1:14">
      <c r="A322" s="30"/>
      <c r="B322" s="30">
        <v>26498</v>
      </c>
      <c r="C322" s="30">
        <v>19526</v>
      </c>
      <c r="D322" s="30">
        <v>904</v>
      </c>
      <c r="E322" s="30">
        <v>3199</v>
      </c>
      <c r="F322" s="30">
        <v>1382</v>
      </c>
      <c r="G322" s="30">
        <v>259</v>
      </c>
      <c r="H322" s="30">
        <v>176</v>
      </c>
      <c r="I322" s="30"/>
      <c r="J322" s="30"/>
      <c r="K322" s="30"/>
      <c r="L322" s="30"/>
      <c r="M322" s="30"/>
      <c r="N322" s="13"/>
    </row>
    <row r="323" spans="1:14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1:14">
      <c r="A324" s="14" t="s">
        <v>99</v>
      </c>
      <c r="B324" s="15" t="s">
        <v>712</v>
      </c>
      <c r="C324" s="12" t="s">
        <v>713</v>
      </c>
      <c r="D324" s="12" t="s">
        <v>713</v>
      </c>
      <c r="E324" s="12" t="s">
        <v>713</v>
      </c>
      <c r="F324" s="12" t="s">
        <v>712</v>
      </c>
      <c r="G324" s="12" t="s">
        <v>712</v>
      </c>
      <c r="H324" s="12" t="s">
        <v>713</v>
      </c>
      <c r="I324" s="12" t="s">
        <v>712</v>
      </c>
      <c r="J324" s="12"/>
      <c r="K324" s="15"/>
      <c r="L324" s="13">
        <f>2002+1+8</f>
        <v>2011</v>
      </c>
      <c r="M324" s="12" t="s">
        <v>714</v>
      </c>
      <c r="N324" s="13">
        <f>SUM(B324:L325)</f>
        <v>59463</v>
      </c>
    </row>
    <row r="325" spans="1:14">
      <c r="A325" s="13"/>
      <c r="B325" s="13">
        <v>25058</v>
      </c>
      <c r="C325" s="13">
        <v>22973</v>
      </c>
      <c r="D325" s="13">
        <v>1353</v>
      </c>
      <c r="E325" s="13">
        <v>4621</v>
      </c>
      <c r="F325" s="13">
        <v>1730</v>
      </c>
      <c r="G325" s="13">
        <v>790</v>
      </c>
      <c r="H325" s="13">
        <v>223</v>
      </c>
      <c r="I325" s="13">
        <v>704</v>
      </c>
      <c r="J325" s="13"/>
      <c r="K325" s="13"/>
      <c r="L325" s="13"/>
      <c r="M325" s="13"/>
      <c r="N325" s="13"/>
    </row>
    <row r="326" spans="1:14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1:14">
      <c r="A327" s="33" t="s">
        <v>111</v>
      </c>
      <c r="B327" s="29" t="s">
        <v>369</v>
      </c>
      <c r="C327" s="32"/>
      <c r="D327" s="32" t="s">
        <v>369</v>
      </c>
      <c r="E327" s="32"/>
      <c r="F327" s="32"/>
      <c r="G327" s="32"/>
      <c r="H327" s="32"/>
      <c r="I327" s="32"/>
      <c r="J327" s="32"/>
      <c r="K327" s="29"/>
      <c r="L327" s="30">
        <f>8714+9+159</f>
        <v>8882</v>
      </c>
      <c r="M327" s="32" t="s">
        <v>370</v>
      </c>
      <c r="N327" s="13">
        <f>SUM(B327:L328)</f>
        <v>36754</v>
      </c>
    </row>
    <row r="328" spans="1:14">
      <c r="A328" s="30"/>
      <c r="B328" s="30">
        <v>24586</v>
      </c>
      <c r="C328" s="30"/>
      <c r="D328" s="30">
        <v>3286</v>
      </c>
      <c r="E328" s="30"/>
      <c r="F328" s="30"/>
      <c r="G328" s="30"/>
      <c r="H328" s="30"/>
      <c r="I328" s="30"/>
      <c r="J328" s="30"/>
      <c r="K328" s="30"/>
      <c r="L328" s="30"/>
      <c r="M328" s="30"/>
      <c r="N328" s="13"/>
    </row>
    <row r="329" spans="1:14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1:14">
      <c r="A330" s="14" t="s">
        <v>119</v>
      </c>
      <c r="B330" s="15" t="s">
        <v>371</v>
      </c>
      <c r="C330" s="12" t="s">
        <v>715</v>
      </c>
      <c r="D330" s="12" t="s">
        <v>371</v>
      </c>
      <c r="E330" s="12" t="s">
        <v>529</v>
      </c>
      <c r="F330" s="12" t="s">
        <v>371</v>
      </c>
      <c r="G330" s="12"/>
      <c r="H330" s="12"/>
      <c r="I330" s="12"/>
      <c r="J330" s="12"/>
      <c r="K330" s="15"/>
      <c r="L330" s="13">
        <f>1709+15+42</f>
        <v>1766</v>
      </c>
      <c r="M330" s="12" t="s">
        <v>372</v>
      </c>
      <c r="N330" s="13">
        <f>SUM(B330:L331)</f>
        <v>57257</v>
      </c>
    </row>
    <row r="331" spans="1:14">
      <c r="A331" s="13"/>
      <c r="B331" s="13">
        <v>35150</v>
      </c>
      <c r="C331" s="13">
        <v>13106</v>
      </c>
      <c r="D331" s="13">
        <v>1607</v>
      </c>
      <c r="E331" s="13">
        <v>2822</v>
      </c>
      <c r="F331" s="13">
        <v>2806</v>
      </c>
      <c r="G331" s="13"/>
      <c r="H331" s="13"/>
      <c r="I331" s="13"/>
      <c r="J331" s="13"/>
      <c r="K331" s="13"/>
      <c r="L331" s="13"/>
      <c r="M331" s="13"/>
      <c r="N331" s="13"/>
    </row>
    <row r="332" spans="1:14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1:14">
      <c r="A333" s="33" t="s">
        <v>127</v>
      </c>
      <c r="B333" s="29" t="s">
        <v>373</v>
      </c>
      <c r="C333" s="32" t="s">
        <v>716</v>
      </c>
      <c r="D333" s="32" t="s">
        <v>373</v>
      </c>
      <c r="E333" s="32" t="s">
        <v>716</v>
      </c>
      <c r="F333" s="32" t="s">
        <v>373</v>
      </c>
      <c r="G333" s="32" t="s">
        <v>373</v>
      </c>
      <c r="H333" s="32" t="s">
        <v>373</v>
      </c>
      <c r="I333" s="32"/>
      <c r="J333" s="32"/>
      <c r="K333" s="29"/>
      <c r="L333" s="30">
        <f>1384+30+42</f>
        <v>1456</v>
      </c>
      <c r="M333" s="32" t="s">
        <v>374</v>
      </c>
      <c r="N333" s="13">
        <f>SUM(B333:L334)</f>
        <v>54013</v>
      </c>
    </row>
    <row r="334" spans="1:14">
      <c r="A334" s="30"/>
      <c r="B334" s="30">
        <v>28550</v>
      </c>
      <c r="C334" s="30">
        <v>17852</v>
      </c>
      <c r="D334" s="30">
        <v>1196</v>
      </c>
      <c r="E334" s="30">
        <v>2988</v>
      </c>
      <c r="F334" s="30">
        <v>1299</v>
      </c>
      <c r="G334" s="30">
        <v>493</v>
      </c>
      <c r="H334" s="30">
        <v>179</v>
      </c>
      <c r="I334" s="30"/>
      <c r="J334" s="30"/>
      <c r="K334" s="30"/>
      <c r="L334" s="30"/>
      <c r="M334" s="30"/>
      <c r="N334" s="13"/>
    </row>
    <row r="335" spans="1:14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1:14">
      <c r="A336" s="14" t="s">
        <v>131</v>
      </c>
      <c r="B336" s="15" t="s">
        <v>317</v>
      </c>
      <c r="C336" s="12" t="s">
        <v>717</v>
      </c>
      <c r="D336" s="12" t="s">
        <v>317</v>
      </c>
      <c r="E336" s="12" t="s">
        <v>717</v>
      </c>
      <c r="F336" s="12" t="s">
        <v>317</v>
      </c>
      <c r="G336" s="12" t="s">
        <v>317</v>
      </c>
      <c r="H336" s="12" t="s">
        <v>317</v>
      </c>
      <c r="I336" s="12" t="s">
        <v>717</v>
      </c>
      <c r="J336" s="12"/>
      <c r="K336" s="12"/>
      <c r="L336" s="13">
        <f>755+58+13</f>
        <v>826</v>
      </c>
      <c r="M336" s="12" t="s">
        <v>375</v>
      </c>
      <c r="N336" s="13">
        <f>SUM(B336:L337)</f>
        <v>41656</v>
      </c>
    </row>
    <row r="337" spans="1:14">
      <c r="A337" s="13"/>
      <c r="B337" s="13">
        <v>19633</v>
      </c>
      <c r="C337" s="13">
        <v>15389</v>
      </c>
      <c r="D337" s="13">
        <v>1035</v>
      </c>
      <c r="E337" s="13">
        <v>2925</v>
      </c>
      <c r="F337" s="13">
        <v>1044</v>
      </c>
      <c r="G337" s="13">
        <v>296</v>
      </c>
      <c r="H337" s="13">
        <v>167</v>
      </c>
      <c r="I337" s="13">
        <v>341</v>
      </c>
      <c r="J337" s="13"/>
      <c r="K337" s="13"/>
      <c r="L337" s="13"/>
      <c r="M337" s="13"/>
      <c r="N337" s="13"/>
    </row>
    <row r="338" spans="1:14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1:14">
      <c r="A339" s="33" t="s">
        <v>137</v>
      </c>
      <c r="B339" s="29"/>
      <c r="C339" s="32" t="s">
        <v>549</v>
      </c>
      <c r="D339" s="32" t="s">
        <v>549</v>
      </c>
      <c r="E339" s="32" t="s">
        <v>549</v>
      </c>
      <c r="F339" s="32"/>
      <c r="G339" s="32"/>
      <c r="H339" s="32" t="s">
        <v>549</v>
      </c>
      <c r="I339" s="32"/>
      <c r="J339" s="32"/>
      <c r="K339" s="32"/>
      <c r="L339" s="30">
        <f>17386+4+467</f>
        <v>17857</v>
      </c>
      <c r="M339" s="32" t="s">
        <v>550</v>
      </c>
      <c r="N339" s="13">
        <f>SUM(B339:L340)</f>
        <v>61523</v>
      </c>
    </row>
    <row r="340" spans="1:14">
      <c r="A340" s="30"/>
      <c r="B340" s="30"/>
      <c r="C340" s="30">
        <v>31959</v>
      </c>
      <c r="D340" s="30">
        <v>5734</v>
      </c>
      <c r="E340" s="30">
        <v>5158</v>
      </c>
      <c r="F340" s="30"/>
      <c r="G340" s="30"/>
      <c r="H340" s="30">
        <v>815</v>
      </c>
      <c r="I340" s="30"/>
      <c r="J340" s="30"/>
      <c r="K340" s="30"/>
      <c r="L340" s="30"/>
      <c r="M340" s="30"/>
      <c r="N340" s="13"/>
    </row>
    <row r="341" spans="1:14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1:14">
      <c r="A342" s="14" t="s">
        <v>146</v>
      </c>
      <c r="B342" s="15" t="s">
        <v>376</v>
      </c>
      <c r="C342" s="12" t="s">
        <v>718</v>
      </c>
      <c r="D342" s="12" t="s">
        <v>376</v>
      </c>
      <c r="E342" s="12" t="s">
        <v>718</v>
      </c>
      <c r="F342" s="12"/>
      <c r="G342" s="12"/>
      <c r="H342" s="12" t="s">
        <v>718</v>
      </c>
      <c r="I342" s="12"/>
      <c r="J342" s="12"/>
      <c r="K342" s="15"/>
      <c r="L342" s="13">
        <f>1302+15+18</f>
        <v>1335</v>
      </c>
      <c r="M342" s="12" t="s">
        <v>440</v>
      </c>
      <c r="N342" s="13">
        <f>SUM(B342:L343)</f>
        <v>54722</v>
      </c>
    </row>
    <row r="343" spans="1:14">
      <c r="A343" s="13"/>
      <c r="B343" s="13">
        <v>28065</v>
      </c>
      <c r="C343" s="13">
        <v>19673</v>
      </c>
      <c r="D343" s="13">
        <v>2277</v>
      </c>
      <c r="E343" s="13">
        <v>3106</v>
      </c>
      <c r="F343" s="13"/>
      <c r="G343" s="13"/>
      <c r="H343" s="13">
        <v>266</v>
      </c>
      <c r="I343" s="13"/>
      <c r="J343" s="13"/>
      <c r="K343" s="13"/>
      <c r="L343" s="13"/>
      <c r="M343" s="13"/>
      <c r="N343" s="13"/>
    </row>
    <row r="344" spans="1:14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1:14">
      <c r="A345" s="33" t="s">
        <v>151</v>
      </c>
      <c r="B345" s="29"/>
      <c r="C345" s="32" t="s">
        <v>377</v>
      </c>
      <c r="D345" s="32" t="s">
        <v>377</v>
      </c>
      <c r="E345" s="32" t="s">
        <v>377</v>
      </c>
      <c r="F345" s="32" t="s">
        <v>719</v>
      </c>
      <c r="G345" s="32"/>
      <c r="H345" s="32"/>
      <c r="I345" s="32"/>
      <c r="J345" s="32"/>
      <c r="K345" s="29"/>
      <c r="L345" s="30">
        <f>9237+1+33</f>
        <v>9271</v>
      </c>
      <c r="M345" s="32" t="s">
        <v>378</v>
      </c>
      <c r="N345" s="13">
        <f>SUM(B345:L346)</f>
        <v>51204</v>
      </c>
    </row>
    <row r="346" spans="1:14">
      <c r="A346" s="30"/>
      <c r="B346" s="30"/>
      <c r="C346" s="30">
        <v>28458</v>
      </c>
      <c r="D346" s="30">
        <v>2478</v>
      </c>
      <c r="E346" s="30">
        <v>2953</v>
      </c>
      <c r="F346" s="30">
        <v>8044</v>
      </c>
      <c r="G346" s="30"/>
      <c r="H346" s="30"/>
      <c r="I346" s="30"/>
      <c r="J346" s="30"/>
      <c r="K346" s="30"/>
      <c r="L346" s="30"/>
      <c r="M346" s="30"/>
      <c r="N346" s="13"/>
    </row>
    <row r="347" spans="1:14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1:14">
      <c r="A348" s="14" t="s">
        <v>157</v>
      </c>
      <c r="B348" s="15" t="s">
        <v>552</v>
      </c>
      <c r="C348" s="12"/>
      <c r="D348" s="12" t="s">
        <v>552</v>
      </c>
      <c r="E348" s="12"/>
      <c r="F348" s="12" t="s">
        <v>552</v>
      </c>
      <c r="G348" s="12"/>
      <c r="H348" s="12"/>
      <c r="I348" s="12"/>
      <c r="J348" s="12"/>
      <c r="K348" s="12"/>
      <c r="L348" s="13">
        <f>11215+7+123</f>
        <v>11345</v>
      </c>
      <c r="M348" s="12" t="s">
        <v>554</v>
      </c>
      <c r="N348" s="13">
        <f>SUM(B348:L349)</f>
        <v>43303</v>
      </c>
    </row>
    <row r="349" spans="1:14">
      <c r="A349" s="13"/>
      <c r="B349" s="13">
        <v>26688</v>
      </c>
      <c r="C349" s="13"/>
      <c r="D349" s="13">
        <v>2650</v>
      </c>
      <c r="E349" s="13"/>
      <c r="F349" s="13">
        <v>2620</v>
      </c>
      <c r="G349" s="13"/>
      <c r="H349" s="13"/>
      <c r="I349" s="13"/>
      <c r="J349" s="13"/>
      <c r="K349" s="13"/>
      <c r="L349" s="13"/>
      <c r="M349" s="13"/>
      <c r="N349" s="13"/>
    </row>
    <row r="350" spans="1:14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1:14">
      <c r="A351" s="33" t="s">
        <v>165</v>
      </c>
      <c r="B351" s="29" t="s">
        <v>720</v>
      </c>
      <c r="C351" s="32" t="s">
        <v>721</v>
      </c>
      <c r="D351" s="32" t="s">
        <v>721</v>
      </c>
      <c r="E351" s="32" t="s">
        <v>721</v>
      </c>
      <c r="F351" s="32" t="s">
        <v>720</v>
      </c>
      <c r="G351" s="32"/>
      <c r="H351" s="32" t="s">
        <v>721</v>
      </c>
      <c r="I351" s="32"/>
      <c r="J351" s="32"/>
      <c r="K351" s="29"/>
      <c r="L351" s="30">
        <f>932+18+28</f>
        <v>978</v>
      </c>
      <c r="M351" s="32" t="s">
        <v>722</v>
      </c>
      <c r="N351" s="13">
        <f>SUM(B351:L352)</f>
        <v>40391</v>
      </c>
    </row>
    <row r="352" spans="1:14">
      <c r="A352" s="30"/>
      <c r="B352" s="30">
        <v>17326</v>
      </c>
      <c r="C352" s="30">
        <v>18259</v>
      </c>
      <c r="D352" s="30">
        <v>802</v>
      </c>
      <c r="E352" s="30">
        <v>1804</v>
      </c>
      <c r="F352" s="30">
        <v>1089</v>
      </c>
      <c r="G352" s="30"/>
      <c r="H352" s="30">
        <v>133</v>
      </c>
      <c r="I352" s="30"/>
      <c r="J352" s="30"/>
      <c r="K352" s="30"/>
      <c r="L352" s="30"/>
      <c r="M352" s="30"/>
      <c r="N352" s="13"/>
    </row>
    <row r="353" spans="1:14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1:14">
      <c r="A354" s="14" t="s">
        <v>169</v>
      </c>
      <c r="B354" s="5"/>
      <c r="C354" s="15" t="s">
        <v>318</v>
      </c>
      <c r="D354" s="15" t="s">
        <v>318</v>
      </c>
      <c r="E354" s="15" t="s">
        <v>318</v>
      </c>
      <c r="F354" s="5"/>
      <c r="G354" s="5"/>
      <c r="H354" s="5"/>
      <c r="I354" s="5"/>
      <c r="J354" s="5"/>
      <c r="K354" s="12"/>
      <c r="L354" s="13">
        <f>8445+1+139</f>
        <v>8585</v>
      </c>
      <c r="M354" s="12" t="s">
        <v>379</v>
      </c>
      <c r="N354" s="13">
        <f>SUM(C354:L355)</f>
        <v>40158</v>
      </c>
    </row>
    <row r="355" spans="1:14">
      <c r="A355" s="13"/>
      <c r="B355" s="5"/>
      <c r="C355" s="13">
        <v>25769</v>
      </c>
      <c r="D355" s="13">
        <v>2822</v>
      </c>
      <c r="E355" s="13">
        <v>2982</v>
      </c>
      <c r="F355" s="5"/>
      <c r="G355" s="5"/>
      <c r="H355" s="5"/>
      <c r="I355" s="5"/>
      <c r="J355" s="5"/>
      <c r="K355" s="13"/>
      <c r="L355" s="13"/>
      <c r="M355" s="13"/>
      <c r="N355" s="13"/>
    </row>
    <row r="356" spans="1:14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1:14">
      <c r="A357" s="33" t="s">
        <v>175</v>
      </c>
      <c r="B357" s="29" t="s">
        <v>723</v>
      </c>
      <c r="C357" s="32" t="s">
        <v>724</v>
      </c>
      <c r="D357" s="32"/>
      <c r="E357" s="32" t="s">
        <v>724</v>
      </c>
      <c r="F357" s="32" t="s">
        <v>723</v>
      </c>
      <c r="G357" s="32"/>
      <c r="H357" s="32" t="s">
        <v>724</v>
      </c>
      <c r="I357" s="32"/>
      <c r="J357" s="32"/>
      <c r="K357" s="29"/>
      <c r="L357" s="30">
        <f>2853+26+118</f>
        <v>2997</v>
      </c>
      <c r="M357" s="32" t="s">
        <v>725</v>
      </c>
      <c r="N357" s="13">
        <f>SUM(B357:L358)</f>
        <v>47469</v>
      </c>
    </row>
    <row r="358" spans="1:14">
      <c r="A358" s="30"/>
      <c r="B358" s="30">
        <v>15137</v>
      </c>
      <c r="C358" s="30">
        <v>25352</v>
      </c>
      <c r="D358" s="30"/>
      <c r="E358" s="30">
        <v>2580</v>
      </c>
      <c r="F358" s="30">
        <v>1126</v>
      </c>
      <c r="G358" s="30"/>
      <c r="H358" s="30">
        <v>277</v>
      </c>
      <c r="I358" s="30"/>
      <c r="J358" s="30"/>
      <c r="K358" s="30"/>
      <c r="L358" s="30"/>
      <c r="M358" s="30"/>
      <c r="N358" s="13"/>
    </row>
    <row r="359" spans="1:14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1:14">
      <c r="A360" s="14" t="s">
        <v>178</v>
      </c>
      <c r="B360" s="15" t="s">
        <v>726</v>
      </c>
      <c r="C360" s="12" t="s">
        <v>727</v>
      </c>
      <c r="D360" s="15" t="s">
        <v>726</v>
      </c>
      <c r="E360" s="12" t="s">
        <v>727</v>
      </c>
      <c r="F360" s="12"/>
      <c r="G360" s="12"/>
      <c r="H360" s="12" t="s">
        <v>727</v>
      </c>
      <c r="I360" s="12"/>
      <c r="J360" s="12"/>
      <c r="K360" s="12"/>
      <c r="L360" s="13">
        <f>2321+37</f>
        <v>2358</v>
      </c>
      <c r="M360" s="12" t="s">
        <v>728</v>
      </c>
      <c r="N360" s="13">
        <f>SUM(B360:L361)</f>
        <v>39979</v>
      </c>
    </row>
    <row r="361" spans="1:14">
      <c r="A361" s="13"/>
      <c r="B361" s="13">
        <v>19056</v>
      </c>
      <c r="C361" s="13">
        <v>14729</v>
      </c>
      <c r="D361" s="13">
        <v>1833</v>
      </c>
      <c r="E361" s="13">
        <v>1779</v>
      </c>
      <c r="F361" s="13"/>
      <c r="G361" s="13"/>
      <c r="H361" s="13">
        <v>224</v>
      </c>
      <c r="I361" s="13"/>
      <c r="J361" s="13"/>
      <c r="K361" s="13"/>
      <c r="L361" s="13"/>
      <c r="M361" s="13"/>
      <c r="N361" s="13"/>
    </row>
    <row r="362" spans="1:14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1:14">
      <c r="A363" s="30" t="s">
        <v>180</v>
      </c>
      <c r="B363" s="29" t="s">
        <v>729</v>
      </c>
      <c r="C363" s="29" t="s">
        <v>234</v>
      </c>
      <c r="D363" s="29" t="s">
        <v>234</v>
      </c>
      <c r="E363" s="29" t="s">
        <v>234</v>
      </c>
      <c r="F363" s="29" t="s">
        <v>729</v>
      </c>
      <c r="G363" s="29" t="s">
        <v>729</v>
      </c>
      <c r="H363" s="29" t="s">
        <v>234</v>
      </c>
      <c r="I363" s="29"/>
      <c r="J363" s="29"/>
      <c r="K363" s="29"/>
      <c r="L363" s="30">
        <f>1685+18+11</f>
        <v>1714</v>
      </c>
      <c r="M363" s="32" t="s">
        <v>249</v>
      </c>
      <c r="N363" s="13">
        <f>SUM(B363:L364)</f>
        <v>47466</v>
      </c>
    </row>
    <row r="364" spans="1:14">
      <c r="A364" s="33"/>
      <c r="B364" s="30">
        <v>13315</v>
      </c>
      <c r="C364" s="30">
        <v>26346</v>
      </c>
      <c r="D364" s="30">
        <v>1312</v>
      </c>
      <c r="E364" s="30">
        <v>3551</v>
      </c>
      <c r="F364" s="30">
        <v>623</v>
      </c>
      <c r="G364" s="30">
        <v>421</v>
      </c>
      <c r="H364" s="30">
        <v>184</v>
      </c>
      <c r="I364" s="30"/>
      <c r="J364" s="30"/>
      <c r="K364" s="30"/>
      <c r="L364" s="30"/>
      <c r="M364" s="30"/>
      <c r="N364" s="13"/>
    </row>
    <row r="365" spans="1:14">
      <c r="A365" s="14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1:14">
      <c r="A366" s="13" t="s">
        <v>182</v>
      </c>
      <c r="B366" s="15" t="s">
        <v>382</v>
      </c>
      <c r="C366" s="12" t="s">
        <v>442</v>
      </c>
      <c r="D366" s="12"/>
      <c r="E366" s="12" t="s">
        <v>442</v>
      </c>
      <c r="F366" s="12"/>
      <c r="G366" s="12"/>
      <c r="H366" s="12" t="s">
        <v>442</v>
      </c>
      <c r="I366" s="12"/>
      <c r="J366" s="12"/>
      <c r="K366" s="15"/>
      <c r="L366" s="13">
        <f>1460+15+40</f>
        <v>1515</v>
      </c>
      <c r="M366" s="12" t="s">
        <v>730</v>
      </c>
      <c r="N366" s="13">
        <f>SUM(B366:L367)</f>
        <v>47670</v>
      </c>
    </row>
    <row r="367" spans="1:14">
      <c r="A367" s="13"/>
      <c r="B367" s="13">
        <v>22835</v>
      </c>
      <c r="C367" s="13">
        <v>20171</v>
      </c>
      <c r="D367" s="13"/>
      <c r="E367" s="13">
        <v>2799</v>
      </c>
      <c r="F367" s="13"/>
      <c r="G367" s="13"/>
      <c r="H367" s="13">
        <v>350</v>
      </c>
      <c r="I367" s="13"/>
      <c r="J367" s="13"/>
      <c r="K367" s="13"/>
      <c r="L367" s="13"/>
      <c r="M367" s="13"/>
      <c r="N367" s="13"/>
    </row>
    <row r="368" spans="1:14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1:14">
      <c r="A369" s="33" t="s">
        <v>183</v>
      </c>
      <c r="B369" s="29"/>
      <c r="C369" s="32" t="s">
        <v>232</v>
      </c>
      <c r="D369" s="32"/>
      <c r="E369" s="32" t="s">
        <v>731</v>
      </c>
      <c r="F369" s="32"/>
      <c r="G369" s="32"/>
      <c r="H369" s="32" t="s">
        <v>232</v>
      </c>
      <c r="I369" s="32"/>
      <c r="J369" s="32"/>
      <c r="K369" s="29"/>
      <c r="L369" s="30">
        <f>8180+8+139</f>
        <v>8327</v>
      </c>
      <c r="M369" s="32" t="s">
        <v>240</v>
      </c>
      <c r="N369" s="13">
        <f>SUM(B369:L370)</f>
        <v>49226</v>
      </c>
    </row>
    <row r="370" spans="1:14">
      <c r="A370" s="30"/>
      <c r="B370" s="30"/>
      <c r="C370" s="30">
        <v>33568</v>
      </c>
      <c r="D370" s="30"/>
      <c r="E370" s="30">
        <v>6026</v>
      </c>
      <c r="F370" s="30"/>
      <c r="G370" s="30"/>
      <c r="H370" s="30">
        <v>1305</v>
      </c>
      <c r="I370" s="30"/>
      <c r="J370" s="30"/>
      <c r="K370" s="30"/>
      <c r="L370" s="30"/>
      <c r="M370" s="30"/>
      <c r="N370" s="13"/>
    </row>
    <row r="371" spans="1:14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1:14">
      <c r="A372" s="13" t="s">
        <v>184</v>
      </c>
      <c r="B372" s="15" t="s">
        <v>237</v>
      </c>
      <c r="C372" s="15"/>
      <c r="D372" s="15"/>
      <c r="E372" s="15"/>
      <c r="F372" s="15"/>
      <c r="G372" s="15"/>
      <c r="H372" s="15"/>
      <c r="I372" s="15"/>
      <c r="J372" s="15"/>
      <c r="K372" s="15"/>
      <c r="L372" s="13">
        <f>14946+18+364</f>
        <v>15328</v>
      </c>
      <c r="M372" s="12" t="s">
        <v>250</v>
      </c>
      <c r="N372" s="13">
        <f>SUM(B372:L373)</f>
        <v>47128</v>
      </c>
    </row>
    <row r="373" spans="1:14">
      <c r="A373" s="13"/>
      <c r="B373" s="13">
        <v>31800</v>
      </c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1:14">
      <c r="A375" s="30" t="s">
        <v>185</v>
      </c>
      <c r="B375" s="29" t="s">
        <v>556</v>
      </c>
      <c r="C375" s="29" t="s">
        <v>324</v>
      </c>
      <c r="D375" s="29" t="s">
        <v>324</v>
      </c>
      <c r="E375" s="29" t="s">
        <v>324</v>
      </c>
      <c r="F375" s="29" t="s">
        <v>556</v>
      </c>
      <c r="G375" s="29"/>
      <c r="H375" s="29"/>
      <c r="I375" s="29"/>
      <c r="J375" s="29"/>
      <c r="K375" s="29"/>
      <c r="L375" s="30">
        <f>2063+1+45</f>
        <v>2109</v>
      </c>
      <c r="M375" s="32" t="s">
        <v>325</v>
      </c>
      <c r="N375" s="13">
        <f>SUM(B375:L376)</f>
        <v>47742</v>
      </c>
    </row>
    <row r="376" spans="1:14">
      <c r="A376" s="30"/>
      <c r="B376" s="30">
        <v>16418</v>
      </c>
      <c r="C376" s="30">
        <v>25317</v>
      </c>
      <c r="D376" s="30">
        <v>910</v>
      </c>
      <c r="E376" s="30">
        <v>2066</v>
      </c>
      <c r="F376" s="30">
        <v>922</v>
      </c>
      <c r="G376" s="30"/>
      <c r="H376" s="30"/>
      <c r="I376" s="30"/>
      <c r="J376" s="30"/>
      <c r="K376" s="30"/>
      <c r="L376" s="30"/>
      <c r="M376" s="30"/>
      <c r="N376" s="13"/>
    </row>
    <row r="377" spans="1:14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1:14">
      <c r="A378" s="14" t="s">
        <v>7</v>
      </c>
      <c r="B378" s="15" t="s">
        <v>235</v>
      </c>
      <c r="C378" s="15"/>
      <c r="D378" s="15"/>
      <c r="E378" s="15"/>
      <c r="F378" s="15"/>
      <c r="G378" s="15"/>
      <c r="H378" s="15"/>
      <c r="I378" s="15"/>
      <c r="J378" s="15"/>
      <c r="K378" s="15"/>
      <c r="L378" s="13">
        <f>11965+1+395</f>
        <v>12361</v>
      </c>
      <c r="M378" s="12" t="s">
        <v>236</v>
      </c>
      <c r="N378" s="13">
        <f>SUM(B378:L379)</f>
        <v>47820</v>
      </c>
    </row>
    <row r="379" spans="1:14">
      <c r="A379" s="13"/>
      <c r="B379" s="13">
        <v>35459</v>
      </c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1:14">
      <c r="A381" s="33" t="s">
        <v>9</v>
      </c>
      <c r="B381" s="29" t="s">
        <v>732</v>
      </c>
      <c r="C381" s="32" t="s">
        <v>209</v>
      </c>
      <c r="D381" s="32" t="s">
        <v>209</v>
      </c>
      <c r="E381" s="32" t="s">
        <v>209</v>
      </c>
      <c r="F381" s="32" t="s">
        <v>732</v>
      </c>
      <c r="G381" s="32" t="s">
        <v>732</v>
      </c>
      <c r="H381" s="32" t="s">
        <v>209</v>
      </c>
      <c r="I381" s="32"/>
      <c r="J381" s="32"/>
      <c r="K381" s="29"/>
      <c r="L381" s="30">
        <f>1550+16+14</f>
        <v>1580</v>
      </c>
      <c r="M381" s="32" t="s">
        <v>210</v>
      </c>
      <c r="N381" s="13">
        <f>SUM(B381:L382)</f>
        <v>55402</v>
      </c>
    </row>
    <row r="382" spans="1:14">
      <c r="A382" s="30"/>
      <c r="B382" s="30">
        <v>21698</v>
      </c>
      <c r="C382" s="30">
        <v>25730</v>
      </c>
      <c r="D382" s="30">
        <v>1154</v>
      </c>
      <c r="E382" s="30">
        <v>3443</v>
      </c>
      <c r="F382" s="30">
        <v>1087</v>
      </c>
      <c r="G382" s="30">
        <v>532</v>
      </c>
      <c r="H382" s="30">
        <v>178</v>
      </c>
      <c r="I382" s="30"/>
      <c r="J382" s="30"/>
      <c r="K382" s="30"/>
      <c r="L382" s="30"/>
      <c r="M382" s="30"/>
      <c r="N382" s="13"/>
    </row>
    <row r="383" spans="1:14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1:14">
      <c r="A384" s="14" t="s">
        <v>15</v>
      </c>
      <c r="B384" s="15" t="s">
        <v>269</v>
      </c>
      <c r="C384" s="12" t="s">
        <v>733</v>
      </c>
      <c r="D384" s="12" t="s">
        <v>733</v>
      </c>
      <c r="E384" s="12" t="s">
        <v>733</v>
      </c>
      <c r="F384" s="12" t="s">
        <v>269</v>
      </c>
      <c r="G384" s="12" t="s">
        <v>269</v>
      </c>
      <c r="H384" s="12" t="s">
        <v>269</v>
      </c>
      <c r="I384" s="12"/>
      <c r="J384" s="12"/>
      <c r="K384" s="15"/>
      <c r="L384" s="13">
        <f>1260+29</f>
        <v>1289</v>
      </c>
      <c r="M384" s="12" t="s">
        <v>383</v>
      </c>
      <c r="N384" s="13">
        <f>SUM(B384:L385)</f>
        <v>59802</v>
      </c>
    </row>
    <row r="385" spans="1:14">
      <c r="A385" s="13"/>
      <c r="B385" s="13">
        <v>31830</v>
      </c>
      <c r="C385" s="13">
        <v>20222</v>
      </c>
      <c r="D385" s="13">
        <v>951</v>
      </c>
      <c r="E385" s="13">
        <v>3394</v>
      </c>
      <c r="F385" s="13">
        <v>1304</v>
      </c>
      <c r="G385" s="13">
        <v>581</v>
      </c>
      <c r="H385" s="13">
        <v>231</v>
      </c>
      <c r="I385" s="13"/>
      <c r="J385" s="13"/>
      <c r="K385" s="13"/>
      <c r="L385" s="13"/>
      <c r="M385" s="13"/>
      <c r="N385" s="13"/>
    </row>
    <row r="386" spans="1:14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>
      <c r="A387" s="33" t="s">
        <v>17</v>
      </c>
      <c r="B387" s="29" t="s">
        <v>559</v>
      </c>
      <c r="C387" s="32"/>
      <c r="D387" s="29" t="s">
        <v>559</v>
      </c>
      <c r="E387" s="29"/>
      <c r="F387" s="32" t="s">
        <v>559</v>
      </c>
      <c r="G387" s="32" t="s">
        <v>559</v>
      </c>
      <c r="H387" s="32"/>
      <c r="I387" s="32"/>
      <c r="J387" s="32"/>
      <c r="K387" s="29"/>
      <c r="L387" s="30">
        <f>12121+357</f>
        <v>12478</v>
      </c>
      <c r="M387" s="32" t="s">
        <v>560</v>
      </c>
      <c r="N387" s="13">
        <f>SUM(B387:L388)</f>
        <v>45801</v>
      </c>
    </row>
    <row r="388" spans="1:14">
      <c r="A388" s="30"/>
      <c r="B388" s="30">
        <v>28803</v>
      </c>
      <c r="C388" s="30"/>
      <c r="D388" s="30">
        <v>2223</v>
      </c>
      <c r="E388" s="30"/>
      <c r="F388" s="30">
        <v>1658</v>
      </c>
      <c r="G388" s="30">
        <v>639</v>
      </c>
      <c r="H388" s="30"/>
      <c r="I388" s="30"/>
      <c r="J388" s="30"/>
      <c r="K388" s="30"/>
      <c r="L388" s="30"/>
      <c r="M388" s="30"/>
      <c r="N388" s="13"/>
    </row>
    <row r="389" spans="1:14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>
      <c r="A390" s="14" t="s">
        <v>25</v>
      </c>
      <c r="B390" s="15" t="s">
        <v>191</v>
      </c>
      <c r="C390" s="12" t="s">
        <v>734</v>
      </c>
      <c r="D390" s="12" t="s">
        <v>191</v>
      </c>
      <c r="E390" s="12" t="s">
        <v>559</v>
      </c>
      <c r="F390" s="12"/>
      <c r="G390" s="12" t="s">
        <v>191</v>
      </c>
      <c r="H390" s="12"/>
      <c r="I390" s="12"/>
      <c r="J390" s="12"/>
      <c r="K390" s="15"/>
      <c r="L390" s="13">
        <f>1496+72</f>
        <v>1568</v>
      </c>
      <c r="M390" s="12" t="s">
        <v>192</v>
      </c>
      <c r="N390" s="13">
        <f>SUM(B390:L391)</f>
        <v>37967</v>
      </c>
    </row>
    <row r="391" spans="1:14">
      <c r="A391" s="13"/>
      <c r="B391" s="13">
        <v>24702</v>
      </c>
      <c r="C391" s="13">
        <v>7747</v>
      </c>
      <c r="D391" s="13">
        <v>1680</v>
      </c>
      <c r="E391" s="13">
        <v>1715</v>
      </c>
      <c r="F391" s="13"/>
      <c r="G391" s="13">
        <v>555</v>
      </c>
      <c r="H391" s="13"/>
      <c r="I391" s="13"/>
      <c r="J391" s="13"/>
      <c r="K391" s="13"/>
      <c r="L391" s="13"/>
      <c r="M391" s="13"/>
      <c r="N391" s="13"/>
    </row>
    <row r="392" spans="1:14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>
      <c r="A393" s="33" t="s">
        <v>31</v>
      </c>
      <c r="B393" s="29" t="s">
        <v>735</v>
      </c>
      <c r="C393" s="32" t="s">
        <v>736</v>
      </c>
      <c r="D393" s="32" t="s">
        <v>736</v>
      </c>
      <c r="E393" s="32" t="s">
        <v>736</v>
      </c>
      <c r="F393" s="32" t="s">
        <v>735</v>
      </c>
      <c r="G393" s="32"/>
      <c r="H393" s="32" t="s">
        <v>736</v>
      </c>
      <c r="I393" s="32"/>
      <c r="J393" s="32"/>
      <c r="K393" s="29"/>
      <c r="L393" s="30">
        <f>2256+16+9</f>
        <v>2281</v>
      </c>
      <c r="M393" s="32" t="s">
        <v>737</v>
      </c>
      <c r="N393" s="13">
        <f>SUM(B393:L394)</f>
        <v>46240</v>
      </c>
    </row>
    <row r="394" spans="1:14">
      <c r="A394" s="30"/>
      <c r="B394" s="30">
        <v>13878</v>
      </c>
      <c r="C394" s="30">
        <v>24129</v>
      </c>
      <c r="D394" s="30">
        <v>916</v>
      </c>
      <c r="E394" s="30">
        <v>4010</v>
      </c>
      <c r="F394" s="30">
        <v>801</v>
      </c>
      <c r="G394" s="30"/>
      <c r="H394" s="30">
        <v>225</v>
      </c>
      <c r="I394" s="30"/>
      <c r="J394" s="30"/>
      <c r="K394" s="30"/>
      <c r="L394" s="30"/>
      <c r="M394" s="30"/>
      <c r="N394" s="13"/>
    </row>
    <row r="395" spans="1:14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1:14">
      <c r="A396" s="14" t="s">
        <v>35</v>
      </c>
      <c r="B396" s="15"/>
      <c r="C396" s="12" t="s">
        <v>211</v>
      </c>
      <c r="D396" s="12"/>
      <c r="E396" s="12" t="s">
        <v>211</v>
      </c>
      <c r="F396" s="12"/>
      <c r="G396" s="12"/>
      <c r="H396" s="12" t="s">
        <v>211</v>
      </c>
      <c r="I396" s="12"/>
      <c r="J396" s="12"/>
      <c r="K396" s="15"/>
      <c r="L396" s="13">
        <f>14789+3+336</f>
        <v>15128</v>
      </c>
      <c r="M396" s="12" t="s">
        <v>212</v>
      </c>
      <c r="N396" s="13">
        <f>SUM(B396:L397)</f>
        <v>53930</v>
      </c>
    </row>
    <row r="397" spans="1:14">
      <c r="A397" s="13"/>
      <c r="B397" s="13"/>
      <c r="C397" s="13">
        <v>31574</v>
      </c>
      <c r="D397" s="13"/>
      <c r="E397" s="13">
        <v>5172</v>
      </c>
      <c r="F397" s="13"/>
      <c r="G397" s="13"/>
      <c r="H397" s="13">
        <v>2056</v>
      </c>
      <c r="I397" s="13"/>
      <c r="J397" s="13"/>
      <c r="K397" s="13"/>
      <c r="L397" s="13"/>
      <c r="M397" s="13"/>
      <c r="N397" s="13"/>
    </row>
    <row r="398" spans="1:14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>
      <c r="A399" s="30" t="s">
        <v>44</v>
      </c>
      <c r="B399" s="29"/>
      <c r="C399" s="29" t="s">
        <v>323</v>
      </c>
      <c r="D399" s="29" t="s">
        <v>323</v>
      </c>
      <c r="E399" s="29" t="s">
        <v>323</v>
      </c>
      <c r="F399" s="29"/>
      <c r="G399" s="29"/>
      <c r="H399" s="29" t="s">
        <v>323</v>
      </c>
      <c r="I399" s="29"/>
      <c r="J399" s="29"/>
      <c r="K399" s="29"/>
      <c r="L399" s="30">
        <f>10259+6+169</f>
        <v>10434</v>
      </c>
      <c r="M399" s="29" t="s">
        <v>445</v>
      </c>
      <c r="N399" s="13">
        <f>SUM(B399:L400)</f>
        <v>48703</v>
      </c>
    </row>
    <row r="400" spans="1:14">
      <c r="A400" s="30"/>
      <c r="B400" s="30"/>
      <c r="C400" s="30">
        <v>31536</v>
      </c>
      <c r="D400" s="30">
        <v>2927</v>
      </c>
      <c r="E400" s="30">
        <v>3188</v>
      </c>
      <c r="F400" s="30"/>
      <c r="G400" s="30"/>
      <c r="H400" s="30">
        <v>618</v>
      </c>
      <c r="I400" s="30"/>
      <c r="J400" s="30"/>
      <c r="K400" s="30"/>
      <c r="L400" s="30"/>
      <c r="M400" s="30"/>
      <c r="N400" s="13"/>
    </row>
    <row r="401" spans="1:14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1:14">
      <c r="A402" s="13" t="s">
        <v>49</v>
      </c>
      <c r="B402" s="15" t="s">
        <v>561</v>
      </c>
      <c r="C402" s="15" t="s">
        <v>738</v>
      </c>
      <c r="D402" s="15" t="s">
        <v>562</v>
      </c>
      <c r="E402" s="15" t="s">
        <v>738</v>
      </c>
      <c r="F402" s="15" t="s">
        <v>561</v>
      </c>
      <c r="G402" s="15" t="s">
        <v>561</v>
      </c>
      <c r="H402" s="15" t="s">
        <v>562</v>
      </c>
      <c r="I402" s="15"/>
      <c r="J402" s="15"/>
      <c r="K402" s="15"/>
      <c r="L402" s="13">
        <f>1788+35+21</f>
        <v>1844</v>
      </c>
      <c r="M402" s="15" t="s">
        <v>739</v>
      </c>
      <c r="N402" s="13">
        <f>SUM(B402:L403)</f>
        <v>56314</v>
      </c>
    </row>
    <row r="403" spans="1:14">
      <c r="A403" s="13"/>
      <c r="B403" s="13">
        <v>22048</v>
      </c>
      <c r="C403" s="13">
        <v>25596</v>
      </c>
      <c r="D403" s="13">
        <v>1165</v>
      </c>
      <c r="E403" s="13">
        <v>4091</v>
      </c>
      <c r="F403" s="13">
        <v>817</v>
      </c>
      <c r="G403" s="13">
        <v>475</v>
      </c>
      <c r="H403" s="13">
        <v>278</v>
      </c>
      <c r="I403" s="13"/>
      <c r="J403" s="13"/>
      <c r="K403" s="13"/>
      <c r="L403" s="13"/>
      <c r="M403" s="13"/>
      <c r="N403" s="13"/>
    </row>
    <row r="404" spans="1:14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1:14">
      <c r="A405" s="30" t="s">
        <v>57</v>
      </c>
      <c r="B405" s="29"/>
      <c r="C405" s="29" t="s">
        <v>446</v>
      </c>
      <c r="D405" s="29" t="s">
        <v>446</v>
      </c>
      <c r="E405" s="29" t="s">
        <v>446</v>
      </c>
      <c r="F405" s="29"/>
      <c r="G405" s="29"/>
      <c r="H405" s="29" t="s">
        <v>446</v>
      </c>
      <c r="I405" s="29"/>
      <c r="J405" s="29"/>
      <c r="K405" s="29"/>
      <c r="L405" s="30">
        <f>15355+4+263</f>
        <v>15622</v>
      </c>
      <c r="M405" s="29" t="s">
        <v>447</v>
      </c>
      <c r="N405" s="13">
        <f>SUM(B405:L406)</f>
        <v>53380</v>
      </c>
    </row>
    <row r="406" spans="1:14">
      <c r="A406" s="30"/>
      <c r="B406" s="30"/>
      <c r="C406" s="30">
        <v>28047</v>
      </c>
      <c r="D406" s="30">
        <v>3492</v>
      </c>
      <c r="E406" s="30">
        <v>5705</v>
      </c>
      <c r="F406" s="30"/>
      <c r="G406" s="30"/>
      <c r="H406" s="30">
        <v>514</v>
      </c>
      <c r="I406" s="30"/>
      <c r="J406" s="30"/>
      <c r="K406" s="30"/>
      <c r="L406" s="30"/>
      <c r="M406" s="30"/>
      <c r="N406" s="13"/>
    </row>
    <row r="407" spans="1:14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1:14">
      <c r="A408" s="13" t="s">
        <v>60</v>
      </c>
      <c r="B408" s="15" t="s">
        <v>740</v>
      </c>
      <c r="C408" s="15" t="s">
        <v>321</v>
      </c>
      <c r="D408" s="15" t="s">
        <v>321</v>
      </c>
      <c r="E408" s="15" t="s">
        <v>321</v>
      </c>
      <c r="F408" s="15" t="s">
        <v>740</v>
      </c>
      <c r="G408" s="15" t="s">
        <v>740</v>
      </c>
      <c r="H408" s="15" t="s">
        <v>321</v>
      </c>
      <c r="I408" s="15"/>
      <c r="J408" s="15"/>
      <c r="K408" s="15"/>
      <c r="L408" s="13">
        <f>2187+11+17</f>
        <v>2215</v>
      </c>
      <c r="M408" s="15" t="s">
        <v>322</v>
      </c>
      <c r="N408" s="13">
        <f>SUM(B408:L409)</f>
        <v>66396</v>
      </c>
    </row>
    <row r="409" spans="1:14">
      <c r="A409" s="13"/>
      <c r="B409" s="13">
        <v>29198</v>
      </c>
      <c r="C409" s="13">
        <v>27293</v>
      </c>
      <c r="D409" s="13">
        <v>1182</v>
      </c>
      <c r="E409" s="13">
        <v>4811</v>
      </c>
      <c r="F409" s="13">
        <v>869</v>
      </c>
      <c r="G409" s="13">
        <v>572</v>
      </c>
      <c r="H409" s="13">
        <v>256</v>
      </c>
      <c r="I409" s="13"/>
      <c r="J409" s="13"/>
      <c r="K409" s="13"/>
      <c r="L409" s="13"/>
      <c r="M409" s="13"/>
      <c r="N409" s="13"/>
    </row>
    <row r="410" spans="1:14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1:14">
      <c r="A411" s="30" t="s">
        <v>66</v>
      </c>
      <c r="B411" s="29" t="s">
        <v>741</v>
      </c>
      <c r="C411" s="29"/>
      <c r="D411" s="29" t="s">
        <v>741</v>
      </c>
      <c r="E411" s="29"/>
      <c r="F411" s="29" t="s">
        <v>741</v>
      </c>
      <c r="G411" s="29" t="s">
        <v>741</v>
      </c>
      <c r="H411" s="29"/>
      <c r="I411" s="29"/>
      <c r="J411" s="29"/>
      <c r="K411" s="29"/>
      <c r="L411" s="30">
        <f>13967+4+258</f>
        <v>14229</v>
      </c>
      <c r="M411" s="29" t="s">
        <v>742</v>
      </c>
      <c r="N411" s="13">
        <f>SUM(B411:L412)</f>
        <v>52966</v>
      </c>
    </row>
    <row r="412" spans="1:14">
      <c r="A412" s="30"/>
      <c r="B412" s="30">
        <v>34276</v>
      </c>
      <c r="C412" s="30"/>
      <c r="D412" s="30">
        <v>2022</v>
      </c>
      <c r="E412" s="30"/>
      <c r="F412" s="30">
        <v>1673</v>
      </c>
      <c r="G412" s="30">
        <v>766</v>
      </c>
      <c r="H412" s="30"/>
      <c r="I412" s="30"/>
      <c r="J412" s="30"/>
      <c r="K412" s="30"/>
      <c r="L412" s="30"/>
      <c r="M412" s="30"/>
      <c r="N412" s="13"/>
    </row>
    <row r="413" spans="1:14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1:14">
      <c r="A414" s="13" t="s">
        <v>74</v>
      </c>
      <c r="B414" s="15" t="s">
        <v>195</v>
      </c>
      <c r="C414" s="15"/>
      <c r="D414" s="15"/>
      <c r="E414" s="15"/>
      <c r="F414" s="15"/>
      <c r="G414" s="15"/>
      <c r="H414" s="15"/>
      <c r="I414" s="15"/>
      <c r="J414" s="15"/>
      <c r="K414" s="15"/>
      <c r="L414" s="13">
        <f>9024+4+700</f>
        <v>9728</v>
      </c>
      <c r="M414" s="15" t="s">
        <v>50</v>
      </c>
      <c r="N414" s="13">
        <f>SUM(B414:L415)</f>
        <v>32553</v>
      </c>
    </row>
    <row r="415" spans="1:14">
      <c r="A415" s="13"/>
      <c r="B415" s="13">
        <v>22825</v>
      </c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1:14">
      <c r="A417" s="30" t="s">
        <v>81</v>
      </c>
      <c r="B417" s="29" t="s">
        <v>319</v>
      </c>
      <c r="C417" s="29" t="s">
        <v>743</v>
      </c>
      <c r="D417" s="29" t="s">
        <v>319</v>
      </c>
      <c r="E417" s="29" t="s">
        <v>743</v>
      </c>
      <c r="F417" s="29" t="s">
        <v>319</v>
      </c>
      <c r="G417" s="29" t="s">
        <v>319</v>
      </c>
      <c r="H417" s="29" t="s">
        <v>743</v>
      </c>
      <c r="I417" s="29"/>
      <c r="J417" s="29"/>
      <c r="K417" s="29"/>
      <c r="L417" s="30">
        <f>1835+12+31</f>
        <v>1878</v>
      </c>
      <c r="M417" s="29" t="s">
        <v>320</v>
      </c>
      <c r="N417" s="13">
        <f>SUM(B417:L418)</f>
        <v>45487</v>
      </c>
    </row>
    <row r="418" spans="1:14">
      <c r="A418" s="30"/>
      <c r="B418" s="30">
        <v>26417</v>
      </c>
      <c r="C418" s="30">
        <v>11740</v>
      </c>
      <c r="D418" s="30">
        <v>886</v>
      </c>
      <c r="E418" s="30">
        <v>2587</v>
      </c>
      <c r="F418" s="30">
        <v>1201</v>
      </c>
      <c r="G418" s="30">
        <v>508</v>
      </c>
      <c r="H418" s="30">
        <v>270</v>
      </c>
      <c r="I418" s="30"/>
      <c r="J418" s="30"/>
      <c r="K418" s="30"/>
      <c r="L418" s="30"/>
      <c r="M418" s="30"/>
      <c r="N418" s="13"/>
    </row>
    <row r="419" spans="1:14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1:14">
      <c r="A420" s="13" t="s">
        <v>86</v>
      </c>
      <c r="B420" s="15"/>
      <c r="C420" s="15" t="s">
        <v>254</v>
      </c>
      <c r="D420" s="15" t="s">
        <v>254</v>
      </c>
      <c r="E420" s="15" t="s">
        <v>254</v>
      </c>
      <c r="F420" s="15"/>
      <c r="G420" s="15"/>
      <c r="H420" s="15" t="s">
        <v>254</v>
      </c>
      <c r="I420" s="15"/>
      <c r="J420" s="15" t="s">
        <v>744</v>
      </c>
      <c r="K420" s="15"/>
      <c r="L420" s="13">
        <f>6799+17+73</f>
        <v>6889</v>
      </c>
      <c r="M420" s="15" t="s">
        <v>255</v>
      </c>
      <c r="N420" s="13">
        <f>SUM(B420:L421)</f>
        <v>46330</v>
      </c>
    </row>
    <row r="421" spans="1:14">
      <c r="A421" s="13"/>
      <c r="B421" s="13"/>
      <c r="C421" s="13">
        <v>28979</v>
      </c>
      <c r="D421" s="13">
        <v>1930</v>
      </c>
      <c r="E421" s="13">
        <v>4900</v>
      </c>
      <c r="F421" s="13"/>
      <c r="G421" s="13"/>
      <c r="H421" s="13">
        <v>341</v>
      </c>
      <c r="I421" s="13"/>
      <c r="J421" s="13">
        <v>3291</v>
      </c>
      <c r="K421" s="13"/>
      <c r="L421" s="13"/>
      <c r="M421" s="13"/>
      <c r="N421" s="13"/>
    </row>
    <row r="422" spans="1:14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1:14">
      <c r="A423" s="30" t="s">
        <v>284</v>
      </c>
      <c r="B423" s="29" t="s">
        <v>193</v>
      </c>
      <c r="C423" s="29" t="s">
        <v>745</v>
      </c>
      <c r="D423" s="29" t="s">
        <v>193</v>
      </c>
      <c r="E423" s="29" t="s">
        <v>193</v>
      </c>
      <c r="F423" s="29"/>
      <c r="G423" s="29" t="s">
        <v>746</v>
      </c>
      <c r="H423" s="29"/>
      <c r="I423" s="29" t="s">
        <v>598</v>
      </c>
      <c r="J423" s="29"/>
      <c r="K423" s="29"/>
      <c r="L423" s="30">
        <f>1568+7</f>
        <v>1575</v>
      </c>
      <c r="M423" s="29" t="s">
        <v>196</v>
      </c>
      <c r="N423" s="13">
        <f>SUM(B423:L424)</f>
        <v>46290</v>
      </c>
    </row>
    <row r="424" spans="1:14">
      <c r="A424" s="30"/>
      <c r="B424" s="30">
        <v>26297</v>
      </c>
      <c r="C424" s="30">
        <v>11615</v>
      </c>
      <c r="D424" s="30">
        <v>1527</v>
      </c>
      <c r="E424" s="30">
        <v>3749</v>
      </c>
      <c r="F424" s="30"/>
      <c r="G424" s="30">
        <v>823</v>
      </c>
      <c r="H424" s="30"/>
      <c r="I424" s="30">
        <v>704</v>
      </c>
      <c r="J424" s="30"/>
      <c r="K424" s="30"/>
      <c r="L424" s="30"/>
      <c r="M424" s="30"/>
      <c r="N424" s="13"/>
    </row>
    <row r="425" spans="1:14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1:14">
      <c r="A426" s="13" t="s">
        <v>100</v>
      </c>
      <c r="B426" s="15" t="s">
        <v>568</v>
      </c>
      <c r="C426" s="15" t="s">
        <v>567</v>
      </c>
      <c r="D426" s="15"/>
      <c r="E426" s="15"/>
      <c r="F426" s="15"/>
      <c r="G426" s="15"/>
      <c r="H426" s="15"/>
      <c r="I426" s="15"/>
      <c r="J426" s="15"/>
      <c r="K426" s="15"/>
      <c r="L426" s="13">
        <v>1877</v>
      </c>
      <c r="M426" s="15" t="s">
        <v>569</v>
      </c>
      <c r="N426" s="13">
        <f>SUM(B426:L427)</f>
        <v>36495</v>
      </c>
    </row>
    <row r="427" spans="1:14">
      <c r="A427" s="13"/>
      <c r="B427" s="13">
        <v>31310</v>
      </c>
      <c r="C427" s="13">
        <v>3308</v>
      </c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1:14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1:14">
      <c r="A429" s="30" t="s">
        <v>105</v>
      </c>
      <c r="B429" s="29" t="s">
        <v>747</v>
      </c>
      <c r="C429" s="29" t="s">
        <v>748</v>
      </c>
      <c r="D429" s="29" t="s">
        <v>749</v>
      </c>
      <c r="E429" s="29" t="s">
        <v>748</v>
      </c>
      <c r="F429" s="29" t="s">
        <v>747</v>
      </c>
      <c r="G429" s="29"/>
      <c r="H429" s="29" t="s">
        <v>747</v>
      </c>
      <c r="I429" s="29"/>
      <c r="J429" s="29"/>
      <c r="K429" s="29"/>
      <c r="L429" s="30">
        <v>1714</v>
      </c>
      <c r="M429" s="29" t="s">
        <v>750</v>
      </c>
      <c r="N429" s="13">
        <f>SUM(B429:L430)</f>
        <v>50278</v>
      </c>
    </row>
    <row r="430" spans="1:14">
      <c r="A430" s="30"/>
      <c r="B430" s="30">
        <v>23514</v>
      </c>
      <c r="C430" s="30">
        <v>17650</v>
      </c>
      <c r="D430" s="30">
        <v>1308</v>
      </c>
      <c r="E430" s="30">
        <v>4411</v>
      </c>
      <c r="F430" s="30">
        <v>1415</v>
      </c>
      <c r="G430" s="30"/>
      <c r="H430" s="30">
        <v>266</v>
      </c>
      <c r="I430" s="30"/>
      <c r="J430" s="30"/>
      <c r="K430" s="30"/>
      <c r="L430" s="30"/>
      <c r="M430" s="30"/>
      <c r="N430" s="13"/>
    </row>
    <row r="431" spans="1:14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1:14">
      <c r="A432" s="13" t="s">
        <v>115</v>
      </c>
      <c r="B432" s="15" t="s">
        <v>570</v>
      </c>
      <c r="C432" s="15" t="s">
        <v>751</v>
      </c>
      <c r="D432" s="15" t="s">
        <v>570</v>
      </c>
      <c r="E432" s="15" t="s">
        <v>571</v>
      </c>
      <c r="F432" s="15" t="s">
        <v>570</v>
      </c>
      <c r="G432" s="15" t="s">
        <v>570</v>
      </c>
      <c r="H432" s="15"/>
      <c r="I432" s="15"/>
      <c r="J432" s="15"/>
      <c r="K432" s="15"/>
      <c r="L432" s="13">
        <v>3275</v>
      </c>
      <c r="M432" s="15" t="s">
        <v>572</v>
      </c>
      <c r="N432" s="13">
        <f>SUM(B432:L433)</f>
        <v>53823</v>
      </c>
    </row>
    <row r="433" spans="1:14">
      <c r="A433" s="13"/>
      <c r="B433" s="13">
        <v>23903</v>
      </c>
      <c r="C433" s="13">
        <v>19246</v>
      </c>
      <c r="D433" s="13">
        <v>1094</v>
      </c>
      <c r="E433" s="13">
        <v>4605</v>
      </c>
      <c r="F433" s="13">
        <v>1240</v>
      </c>
      <c r="G433" s="13">
        <v>460</v>
      </c>
      <c r="H433" s="13"/>
      <c r="I433" s="13"/>
      <c r="J433" s="13"/>
      <c r="K433" s="13"/>
      <c r="L433" s="13"/>
      <c r="M433" s="13"/>
      <c r="N433" s="13"/>
    </row>
    <row r="434" spans="1:1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1:14">
      <c r="A435" s="30" t="s">
        <v>123</v>
      </c>
      <c r="B435" s="29" t="s">
        <v>752</v>
      </c>
      <c r="C435" s="29" t="s">
        <v>573</v>
      </c>
      <c r="D435" s="29" t="s">
        <v>573</v>
      </c>
      <c r="E435" s="29" t="s">
        <v>573</v>
      </c>
      <c r="F435" s="29" t="s">
        <v>752</v>
      </c>
      <c r="G435" s="29" t="s">
        <v>752</v>
      </c>
      <c r="H435" s="29" t="s">
        <v>573</v>
      </c>
      <c r="I435" s="29"/>
      <c r="J435" s="29"/>
      <c r="K435" s="29"/>
      <c r="L435" s="30">
        <f>2009+2+14</f>
        <v>2025</v>
      </c>
      <c r="M435" s="29" t="s">
        <v>574</v>
      </c>
      <c r="N435" s="13">
        <f>SUM(B435:L436)</f>
        <v>52757</v>
      </c>
    </row>
    <row r="436" spans="1:14">
      <c r="A436" s="30"/>
      <c r="B436" s="30">
        <v>17709</v>
      </c>
      <c r="C436" s="30">
        <v>25482</v>
      </c>
      <c r="D436" s="30">
        <v>839</v>
      </c>
      <c r="E436" s="30">
        <v>5159</v>
      </c>
      <c r="F436" s="30">
        <v>900</v>
      </c>
      <c r="G436" s="30">
        <v>435</v>
      </c>
      <c r="H436" s="30">
        <v>208</v>
      </c>
      <c r="I436" s="30"/>
      <c r="J436" s="30"/>
      <c r="K436" s="30"/>
      <c r="L436" s="30"/>
      <c r="M436" s="30"/>
      <c r="N436" s="13"/>
    </row>
    <row r="437" spans="1:14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1:14">
      <c r="A438" s="13" t="s">
        <v>129</v>
      </c>
      <c r="B438" s="15"/>
      <c r="C438" s="15" t="s">
        <v>575</v>
      </c>
      <c r="D438" s="15" t="s">
        <v>575</v>
      </c>
      <c r="E438" s="15" t="s">
        <v>575</v>
      </c>
      <c r="F438" s="15"/>
      <c r="G438" s="15"/>
      <c r="H438" s="15" t="s">
        <v>575</v>
      </c>
      <c r="I438" s="15"/>
      <c r="J438" s="15"/>
      <c r="K438" s="15"/>
      <c r="L438" s="13">
        <f>12573+187</f>
        <v>12760</v>
      </c>
      <c r="M438" s="15" t="s">
        <v>576</v>
      </c>
      <c r="N438" s="13">
        <f>SUM(B438:L439)</f>
        <v>44644</v>
      </c>
    </row>
    <row r="439" spans="1:14">
      <c r="A439" s="13"/>
      <c r="B439" s="13"/>
      <c r="C439" s="13">
        <v>23443</v>
      </c>
      <c r="D439" s="13">
        <v>3430</v>
      </c>
      <c r="E439" s="13">
        <v>4487</v>
      </c>
      <c r="F439" s="13"/>
      <c r="G439" s="13"/>
      <c r="H439" s="13">
        <v>524</v>
      </c>
      <c r="I439" s="13"/>
      <c r="J439" s="13"/>
      <c r="K439" s="13"/>
      <c r="L439" s="13"/>
      <c r="M439" s="13"/>
      <c r="N439" s="13"/>
    </row>
    <row r="440" spans="1:14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1:14">
      <c r="A441" s="30" t="s">
        <v>135</v>
      </c>
      <c r="B441" s="29" t="s">
        <v>753</v>
      </c>
      <c r="C441" s="29" t="s">
        <v>386</v>
      </c>
      <c r="D441" s="29" t="s">
        <v>386</v>
      </c>
      <c r="E441" s="29" t="s">
        <v>386</v>
      </c>
      <c r="F441" s="29" t="s">
        <v>753</v>
      </c>
      <c r="G441" s="29" t="s">
        <v>753</v>
      </c>
      <c r="H441" s="29" t="s">
        <v>386</v>
      </c>
      <c r="I441" s="29" t="s">
        <v>754</v>
      </c>
      <c r="J441" s="29"/>
      <c r="K441" s="29"/>
      <c r="L441" s="30">
        <f>1136+3</f>
        <v>1139</v>
      </c>
      <c r="M441" s="29" t="s">
        <v>755</v>
      </c>
      <c r="N441" s="13">
        <f>SUM(B441:L442)</f>
        <v>53261</v>
      </c>
    </row>
    <row r="442" spans="1:14">
      <c r="A442" s="30"/>
      <c r="B442" s="30">
        <v>26002</v>
      </c>
      <c r="C442" s="30">
        <v>19410</v>
      </c>
      <c r="D442" s="30">
        <v>740</v>
      </c>
      <c r="E442" s="30">
        <v>3867</v>
      </c>
      <c r="F442" s="30">
        <v>1050</v>
      </c>
      <c r="G442" s="30">
        <v>564</v>
      </c>
      <c r="H442" s="30">
        <v>143</v>
      </c>
      <c r="I442" s="30">
        <v>346</v>
      </c>
      <c r="J442" s="30"/>
      <c r="K442" s="30"/>
      <c r="L442" s="30"/>
      <c r="M442" s="30"/>
      <c r="N442" s="13"/>
    </row>
    <row r="443" spans="1:14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1:14">
      <c r="A444" s="13" t="s">
        <v>143</v>
      </c>
      <c r="B444" s="15" t="s">
        <v>756</v>
      </c>
      <c r="C444" s="15" t="s">
        <v>388</v>
      </c>
      <c r="D444" s="15"/>
      <c r="E444" s="15" t="s">
        <v>388</v>
      </c>
      <c r="F444" s="15" t="s">
        <v>756</v>
      </c>
      <c r="G444" s="15"/>
      <c r="H444" s="15" t="s">
        <v>388</v>
      </c>
      <c r="I444" s="15"/>
      <c r="J444" s="15"/>
      <c r="K444" s="15"/>
      <c r="L444" s="13">
        <f>1754+6+3</f>
        <v>1763</v>
      </c>
      <c r="M444" s="15" t="s">
        <v>389</v>
      </c>
      <c r="N444" s="13">
        <f>SUM(B444:L445)</f>
        <v>55572</v>
      </c>
    </row>
    <row r="445" spans="1:14">
      <c r="A445" s="13"/>
      <c r="B445" s="13">
        <v>19036</v>
      </c>
      <c r="C445" s="13">
        <v>26477</v>
      </c>
      <c r="D445" s="13"/>
      <c r="E445" s="13">
        <v>5966</v>
      </c>
      <c r="F445" s="13">
        <v>2016</v>
      </c>
      <c r="G445" s="13"/>
      <c r="H445" s="13">
        <v>314</v>
      </c>
      <c r="I445" s="13"/>
      <c r="J445" s="13"/>
      <c r="K445" s="13"/>
      <c r="L445" s="13"/>
      <c r="M445" s="13"/>
      <c r="N445" s="13"/>
    </row>
    <row r="446" spans="1:14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1:14">
      <c r="A447" s="30" t="s">
        <v>149</v>
      </c>
      <c r="B447" s="29"/>
      <c r="C447" s="29" t="s">
        <v>258</v>
      </c>
      <c r="D447" s="29" t="s">
        <v>258</v>
      </c>
      <c r="E447" s="29" t="s">
        <v>258</v>
      </c>
      <c r="F447" s="29"/>
      <c r="G447" s="29"/>
      <c r="H447" s="29"/>
      <c r="I447" s="29"/>
      <c r="J447" s="29"/>
      <c r="K447" s="29"/>
      <c r="L447" s="30">
        <f>7461+39+99</f>
        <v>7599</v>
      </c>
      <c r="M447" s="29" t="s">
        <v>259</v>
      </c>
      <c r="N447" s="13">
        <f>SUM(B447:L448)</f>
        <v>41353</v>
      </c>
    </row>
    <row r="448" spans="1:14">
      <c r="A448" s="30"/>
      <c r="B448" s="30"/>
      <c r="C448" s="30">
        <v>27728</v>
      </c>
      <c r="D448" s="30">
        <v>2488</v>
      </c>
      <c r="E448" s="30">
        <v>3538</v>
      </c>
      <c r="F448" s="30"/>
      <c r="G448" s="30"/>
      <c r="H448" s="30"/>
      <c r="I448" s="30"/>
      <c r="J448" s="30"/>
      <c r="K448" s="30"/>
      <c r="L448" s="30"/>
      <c r="M448" s="30"/>
      <c r="N448" s="13"/>
    </row>
    <row r="449" spans="1:14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1:14">
      <c r="A450" s="13" t="s">
        <v>155</v>
      </c>
      <c r="B450" s="15" t="s">
        <v>390</v>
      </c>
      <c r="C450" s="15" t="s">
        <v>757</v>
      </c>
      <c r="D450" s="15" t="s">
        <v>390</v>
      </c>
      <c r="E450" s="15"/>
      <c r="F450" s="15" t="s">
        <v>390</v>
      </c>
      <c r="G450" s="15" t="s">
        <v>390</v>
      </c>
      <c r="H450" s="15"/>
      <c r="I450" s="15"/>
      <c r="J450" s="15"/>
      <c r="K450" s="15"/>
      <c r="L450" s="13">
        <v>2847</v>
      </c>
      <c r="M450" s="15" t="s">
        <v>391</v>
      </c>
      <c r="N450" s="13">
        <f>SUM(B450:L451)</f>
        <v>46142</v>
      </c>
    </row>
    <row r="451" spans="1:14">
      <c r="A451" s="13"/>
      <c r="B451" s="13">
        <v>27724</v>
      </c>
      <c r="C451" s="13">
        <v>12062</v>
      </c>
      <c r="D451" s="13">
        <v>1056</v>
      </c>
      <c r="E451" s="13"/>
      <c r="F451" s="13">
        <v>1782</v>
      </c>
      <c r="G451" s="13">
        <v>671</v>
      </c>
      <c r="H451" s="13"/>
      <c r="I451" s="13"/>
      <c r="J451" s="13"/>
      <c r="K451" s="13"/>
      <c r="L451" s="13"/>
      <c r="M451" s="13"/>
      <c r="N451" s="13"/>
    </row>
    <row r="452" spans="1:14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1:14">
      <c r="A453" s="30" t="s">
        <v>162</v>
      </c>
      <c r="B453" s="29" t="s">
        <v>758</v>
      </c>
      <c r="C453" s="29" t="s">
        <v>327</v>
      </c>
      <c r="D453" s="29" t="s">
        <v>327</v>
      </c>
      <c r="E453" s="29" t="s">
        <v>327</v>
      </c>
      <c r="F453" s="29" t="s">
        <v>758</v>
      </c>
      <c r="G453" s="29" t="s">
        <v>758</v>
      </c>
      <c r="H453" s="29"/>
      <c r="I453" s="29"/>
      <c r="J453" s="29"/>
      <c r="K453" s="29"/>
      <c r="L453" s="30">
        <f>1038+20+15</f>
        <v>1073</v>
      </c>
      <c r="M453" s="29" t="s">
        <v>328</v>
      </c>
      <c r="N453" s="13">
        <f>SUM(B453:L454)</f>
        <v>44505</v>
      </c>
    </row>
    <row r="454" spans="1:14">
      <c r="A454" s="30"/>
      <c r="B454" s="30">
        <v>12608</v>
      </c>
      <c r="C454" s="30">
        <v>25090</v>
      </c>
      <c r="D454" s="30">
        <v>1363</v>
      </c>
      <c r="E454" s="30">
        <v>3368</v>
      </c>
      <c r="F454" s="30">
        <v>659</v>
      </c>
      <c r="G454" s="30">
        <v>344</v>
      </c>
      <c r="H454" s="30"/>
      <c r="I454" s="30"/>
      <c r="J454" s="30"/>
      <c r="K454" s="30"/>
      <c r="L454" s="30"/>
      <c r="M454" s="30"/>
      <c r="N454" s="13"/>
    </row>
    <row r="455" spans="1:14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3"/>
    </row>
    <row r="456" spans="1:14">
      <c r="A456" s="19" t="s">
        <v>171</v>
      </c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1:14">
      <c r="A457" s="20" t="s">
        <v>759</v>
      </c>
      <c r="B457" s="21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1:14">
      <c r="A458" s="21" t="s">
        <v>329</v>
      </c>
      <c r="B458" s="21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1:14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1:14">
      <c r="A460" s="56" t="s">
        <v>760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</sheetData>
  <hyperlinks>
    <hyperlink ref="A460" r:id="rId1"/>
  </hyperlinks>
  <pageMargins left="0.7" right="0.7" top="0.75" bottom="0.75" header="0.3" footer="0.3"/>
  <pageSetup scale="47" fitToHeight="2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9"/>
  <sheetViews>
    <sheetView workbookViewId="0"/>
  </sheetViews>
  <sheetFormatPr defaultColWidth="15.77734375" defaultRowHeight="15.75"/>
  <cols>
    <col min="1" max="1" width="25.77734375" customWidth="1"/>
    <col min="14" max="14" width="26.77734375" customWidth="1"/>
  </cols>
  <sheetData>
    <row r="1" spans="1:15" ht="20.25">
      <c r="A1" s="22" t="s">
        <v>0</v>
      </c>
      <c r="B1" s="8"/>
      <c r="C1" s="8"/>
      <c r="D1" s="8"/>
      <c r="E1" s="8"/>
      <c r="F1" s="8"/>
      <c r="G1" s="8"/>
      <c r="H1" s="8"/>
      <c r="I1" s="5"/>
      <c r="J1" s="5"/>
      <c r="K1" s="5"/>
      <c r="L1" s="5"/>
      <c r="M1" s="5"/>
      <c r="N1" s="5"/>
      <c r="O1" s="5"/>
    </row>
    <row r="2" spans="1:15" ht="20.25">
      <c r="A2" s="22" t="s">
        <v>2057</v>
      </c>
      <c r="B2" s="8"/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9.25">
      <c r="A4" s="24" t="s">
        <v>1</v>
      </c>
      <c r="B4" s="25" t="s">
        <v>197</v>
      </c>
      <c r="C4" s="25" t="s">
        <v>186</v>
      </c>
      <c r="D4" s="25" t="s">
        <v>1609</v>
      </c>
      <c r="E4" s="25" t="s">
        <v>215</v>
      </c>
      <c r="F4" s="26" t="s">
        <v>2253</v>
      </c>
      <c r="G4" s="26" t="s">
        <v>584</v>
      </c>
      <c r="H4" s="25" t="s">
        <v>1804</v>
      </c>
      <c r="I4" s="25" t="s">
        <v>1982</v>
      </c>
      <c r="J4" s="25" t="s">
        <v>585</v>
      </c>
      <c r="K4" s="25" t="s">
        <v>586</v>
      </c>
      <c r="L4" s="25" t="s">
        <v>580</v>
      </c>
      <c r="M4" s="27" t="s">
        <v>582</v>
      </c>
      <c r="N4" s="25" t="s">
        <v>2</v>
      </c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11" t="s">
        <v>3</v>
      </c>
      <c r="B6" s="12" t="s">
        <v>2014</v>
      </c>
      <c r="C6" s="12" t="s">
        <v>1610</v>
      </c>
      <c r="D6" s="12" t="s">
        <v>1610</v>
      </c>
      <c r="E6" s="12" t="s">
        <v>1610</v>
      </c>
      <c r="F6" s="12"/>
      <c r="G6" s="12"/>
      <c r="H6" s="12"/>
      <c r="I6" s="12"/>
      <c r="J6" s="12"/>
      <c r="K6" s="12"/>
      <c r="L6" s="12"/>
      <c r="M6" s="13">
        <v>10048</v>
      </c>
      <c r="N6" s="12" t="s">
        <v>1611</v>
      </c>
      <c r="O6" s="5"/>
    </row>
    <row r="7" spans="1:15">
      <c r="A7" s="5"/>
      <c r="B7" s="13">
        <v>14705</v>
      </c>
      <c r="C7" s="13">
        <v>32534</v>
      </c>
      <c r="D7" s="13">
        <v>2600</v>
      </c>
      <c r="E7" s="13">
        <v>2213</v>
      </c>
      <c r="F7" s="13"/>
      <c r="G7" s="13"/>
      <c r="H7" s="13"/>
      <c r="I7" s="13"/>
      <c r="J7" s="13"/>
      <c r="K7" s="13"/>
      <c r="L7" s="13"/>
      <c r="M7" s="13"/>
      <c r="N7" s="14"/>
      <c r="O7" s="5"/>
    </row>
    <row r="8" spans="1:15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5"/>
    </row>
    <row r="9" spans="1:15">
      <c r="A9" s="28" t="s">
        <v>10</v>
      </c>
      <c r="B9" s="29" t="s">
        <v>1306</v>
      </c>
      <c r="C9" s="29" t="s">
        <v>1085</v>
      </c>
      <c r="D9" s="29" t="s">
        <v>2015</v>
      </c>
      <c r="E9" s="29" t="s">
        <v>1306</v>
      </c>
      <c r="F9" s="29"/>
      <c r="G9" s="29"/>
      <c r="H9" s="29"/>
      <c r="I9" s="29"/>
      <c r="J9" s="29" t="s">
        <v>2254</v>
      </c>
      <c r="K9" s="29"/>
      <c r="L9" s="29"/>
      <c r="M9" s="30">
        <v>9916</v>
      </c>
      <c r="N9" s="29" t="s">
        <v>11</v>
      </c>
      <c r="O9" s="5"/>
    </row>
    <row r="10" spans="1:15">
      <c r="A10" s="31"/>
      <c r="B10" s="30">
        <v>15814</v>
      </c>
      <c r="C10" s="30">
        <v>28948</v>
      </c>
      <c r="D10" s="30">
        <v>1864</v>
      </c>
      <c r="E10" s="30">
        <v>771</v>
      </c>
      <c r="F10" s="30"/>
      <c r="G10" s="30"/>
      <c r="H10" s="30"/>
      <c r="I10" s="30"/>
      <c r="J10" s="30">
        <v>710</v>
      </c>
      <c r="K10" s="30"/>
      <c r="L10" s="30"/>
      <c r="M10" s="30"/>
      <c r="N10" s="30"/>
      <c r="O10" s="5"/>
    </row>
    <row r="11" spans="1:15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5"/>
    </row>
    <row r="12" spans="1:15">
      <c r="A12" s="11" t="s">
        <v>16</v>
      </c>
      <c r="B12" s="12" t="s">
        <v>1287</v>
      </c>
      <c r="C12" s="12" t="s">
        <v>2016</v>
      </c>
      <c r="D12" s="12" t="s">
        <v>2016</v>
      </c>
      <c r="E12" s="12" t="s">
        <v>1287</v>
      </c>
      <c r="F12" s="12" t="s">
        <v>1287</v>
      </c>
      <c r="G12" s="12"/>
      <c r="H12" s="12"/>
      <c r="I12" s="12" t="s">
        <v>2016</v>
      </c>
      <c r="J12" s="12"/>
      <c r="K12" s="12"/>
      <c r="L12" s="12"/>
      <c r="M12" s="13">
        <v>8414</v>
      </c>
      <c r="N12" s="12" t="s">
        <v>1289</v>
      </c>
      <c r="O12" s="5"/>
    </row>
    <row r="13" spans="1:15">
      <c r="A13" s="5"/>
      <c r="B13" s="13">
        <v>19626</v>
      </c>
      <c r="C13" s="13">
        <v>17701</v>
      </c>
      <c r="D13" s="13">
        <v>1471</v>
      </c>
      <c r="E13" s="13">
        <v>1168</v>
      </c>
      <c r="F13" s="13">
        <v>572</v>
      </c>
      <c r="G13" s="13"/>
      <c r="H13" s="13"/>
      <c r="I13" s="13">
        <v>1558</v>
      </c>
      <c r="J13" s="13"/>
      <c r="K13" s="13"/>
      <c r="L13" s="13"/>
      <c r="M13" s="13"/>
      <c r="N13" s="14"/>
      <c r="O13" s="5"/>
    </row>
    <row r="14" spans="1:15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5"/>
    </row>
    <row r="15" spans="1:15">
      <c r="A15" s="28" t="s">
        <v>26</v>
      </c>
      <c r="B15" s="32" t="s">
        <v>187</v>
      </c>
      <c r="C15" s="32" t="s">
        <v>2017</v>
      </c>
      <c r="D15" s="32" t="s">
        <v>2017</v>
      </c>
      <c r="E15" s="32" t="s">
        <v>198</v>
      </c>
      <c r="F15" s="32" t="s">
        <v>198</v>
      </c>
      <c r="G15" s="32"/>
      <c r="H15" s="32"/>
      <c r="I15" s="32" t="s">
        <v>2017</v>
      </c>
      <c r="J15" s="32" t="s">
        <v>198</v>
      </c>
      <c r="K15" s="32"/>
      <c r="L15" s="32"/>
      <c r="M15" s="30">
        <v>7141</v>
      </c>
      <c r="N15" s="32" t="s">
        <v>27</v>
      </c>
      <c r="O15" s="5"/>
    </row>
    <row r="16" spans="1:15">
      <c r="A16" s="31"/>
      <c r="B16" s="30">
        <v>27832</v>
      </c>
      <c r="C16" s="30">
        <v>14068</v>
      </c>
      <c r="D16" s="30">
        <v>1152</v>
      </c>
      <c r="E16" s="32">
        <v>1713</v>
      </c>
      <c r="F16" s="32">
        <v>621</v>
      </c>
      <c r="G16" s="32"/>
      <c r="H16" s="32"/>
      <c r="I16" s="30">
        <v>1343</v>
      </c>
      <c r="J16" s="30">
        <v>673</v>
      </c>
      <c r="K16" s="30"/>
      <c r="L16" s="30"/>
      <c r="M16" s="30"/>
      <c r="N16" s="33"/>
      <c r="O16" s="5"/>
    </row>
    <row r="17" spans="1:15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5"/>
    </row>
    <row r="18" spans="1:15">
      <c r="A18" s="11" t="s">
        <v>40</v>
      </c>
      <c r="B18" s="12" t="s">
        <v>1810</v>
      </c>
      <c r="C18" s="12" t="s">
        <v>2018</v>
      </c>
      <c r="D18" s="12" t="s">
        <v>2018</v>
      </c>
      <c r="E18" s="12" t="s">
        <v>1810</v>
      </c>
      <c r="F18" s="12" t="s">
        <v>1810</v>
      </c>
      <c r="G18" s="12"/>
      <c r="H18" s="12"/>
      <c r="I18" s="12" t="s">
        <v>2018</v>
      </c>
      <c r="J18" s="12" t="s">
        <v>1810</v>
      </c>
      <c r="K18" s="12"/>
      <c r="L18" s="12"/>
      <c r="M18" s="13">
        <v>6420</v>
      </c>
      <c r="N18" s="12" t="s">
        <v>1812</v>
      </c>
      <c r="O18" s="5"/>
    </row>
    <row r="19" spans="1:15">
      <c r="A19" s="5"/>
      <c r="B19" s="13">
        <v>24360</v>
      </c>
      <c r="C19" s="13">
        <v>7435</v>
      </c>
      <c r="D19" s="13">
        <v>709</v>
      </c>
      <c r="E19" s="13">
        <v>2031</v>
      </c>
      <c r="F19" s="13">
        <v>542</v>
      </c>
      <c r="G19" s="13"/>
      <c r="H19" s="13"/>
      <c r="I19" s="13">
        <v>1031</v>
      </c>
      <c r="J19" s="13">
        <v>505</v>
      </c>
      <c r="K19" s="13"/>
      <c r="L19" s="13"/>
      <c r="M19" s="13"/>
      <c r="N19" s="14"/>
      <c r="O19" s="5"/>
    </row>
    <row r="20" spans="1:15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5"/>
    </row>
    <row r="21" spans="1:15">
      <c r="A21" s="28" t="s">
        <v>52</v>
      </c>
      <c r="B21" s="32" t="s">
        <v>2019</v>
      </c>
      <c r="C21" s="32" t="s">
        <v>2020</v>
      </c>
      <c r="D21" s="32" t="s">
        <v>2020</v>
      </c>
      <c r="E21" s="32" t="s">
        <v>2021</v>
      </c>
      <c r="F21" s="32"/>
      <c r="G21" s="32"/>
      <c r="H21" s="32"/>
      <c r="I21" s="32" t="s">
        <v>2022</v>
      </c>
      <c r="J21" s="32"/>
      <c r="K21" s="32"/>
      <c r="L21" s="29"/>
      <c r="M21" s="30">
        <v>10159</v>
      </c>
      <c r="N21" s="32" t="s">
        <v>2023</v>
      </c>
      <c r="O21" s="5"/>
    </row>
    <row r="22" spans="1:15">
      <c r="A22" s="31"/>
      <c r="B22" s="30">
        <v>16694</v>
      </c>
      <c r="C22" s="30">
        <v>26135</v>
      </c>
      <c r="D22" s="30">
        <v>2171</v>
      </c>
      <c r="E22" s="30">
        <v>1287</v>
      </c>
      <c r="F22" s="30"/>
      <c r="G22" s="30"/>
      <c r="H22" s="30"/>
      <c r="I22" s="30">
        <v>2549</v>
      </c>
      <c r="J22" s="30"/>
      <c r="K22" s="30"/>
      <c r="L22" s="30"/>
      <c r="M22" s="30"/>
      <c r="N22" s="33"/>
      <c r="O22" s="5"/>
    </row>
    <row r="23" spans="1:15">
      <c r="A23" s="5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13"/>
      <c r="M23" s="13"/>
      <c r="N23" s="13"/>
      <c r="O23" s="5"/>
    </row>
    <row r="24" spans="1:15">
      <c r="A24" s="11" t="s">
        <v>59</v>
      </c>
      <c r="B24" s="12" t="s">
        <v>2024</v>
      </c>
      <c r="C24" s="12" t="s">
        <v>2025</v>
      </c>
      <c r="D24" s="12" t="s">
        <v>2025</v>
      </c>
      <c r="E24" s="12" t="s">
        <v>1617</v>
      </c>
      <c r="F24" s="12" t="s">
        <v>2024</v>
      </c>
      <c r="G24" s="12"/>
      <c r="H24" s="12"/>
      <c r="I24" s="12" t="s">
        <v>2026</v>
      </c>
      <c r="J24" s="12"/>
      <c r="K24" s="12"/>
      <c r="L24" s="12"/>
      <c r="M24" s="13">
        <v>9870</v>
      </c>
      <c r="N24" s="12" t="s">
        <v>1618</v>
      </c>
      <c r="O24" s="5"/>
    </row>
    <row r="25" spans="1:15">
      <c r="A25" s="5"/>
      <c r="B25" s="13">
        <v>13527</v>
      </c>
      <c r="C25" s="13">
        <v>17759</v>
      </c>
      <c r="D25" s="13">
        <v>1571</v>
      </c>
      <c r="E25" s="13">
        <v>996</v>
      </c>
      <c r="F25" s="13">
        <v>442</v>
      </c>
      <c r="G25" s="13"/>
      <c r="H25" s="13"/>
      <c r="I25" s="13">
        <v>1622</v>
      </c>
      <c r="J25" s="13"/>
      <c r="K25" s="13"/>
      <c r="L25" s="13"/>
      <c r="M25" s="13"/>
      <c r="N25" s="14"/>
      <c r="O25" s="5"/>
    </row>
    <row r="26" spans="1:15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5"/>
    </row>
    <row r="27" spans="1:15">
      <c r="A27" s="28" t="s">
        <v>64</v>
      </c>
      <c r="B27" s="32" t="s">
        <v>2027</v>
      </c>
      <c r="C27" s="32" t="s">
        <v>2028</v>
      </c>
      <c r="D27" s="32" t="s">
        <v>2028</v>
      </c>
      <c r="E27" s="32" t="s">
        <v>1092</v>
      </c>
      <c r="F27" s="32"/>
      <c r="G27" s="32"/>
      <c r="H27" s="32"/>
      <c r="I27" s="32" t="s">
        <v>493</v>
      </c>
      <c r="J27" s="32" t="s">
        <v>2255</v>
      </c>
      <c r="K27" s="32"/>
      <c r="L27" s="32"/>
      <c r="M27" s="30">
        <v>11023</v>
      </c>
      <c r="N27" s="32" t="s">
        <v>1620</v>
      </c>
      <c r="O27" s="5"/>
    </row>
    <row r="28" spans="1:15">
      <c r="A28" s="31"/>
      <c r="B28" s="30">
        <v>13233</v>
      </c>
      <c r="C28" s="30">
        <v>21730</v>
      </c>
      <c r="D28" s="30">
        <v>1960</v>
      </c>
      <c r="E28" s="30">
        <v>1337</v>
      </c>
      <c r="F28" s="30"/>
      <c r="G28" s="30"/>
      <c r="H28" s="30"/>
      <c r="I28" s="30">
        <v>1283</v>
      </c>
      <c r="J28" s="30">
        <v>453</v>
      </c>
      <c r="K28" s="30"/>
      <c r="L28" s="30"/>
      <c r="M28" s="30"/>
      <c r="N28" s="33"/>
      <c r="O28" s="5"/>
    </row>
    <row r="29" spans="1:1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5"/>
    </row>
    <row r="30" spans="1:15">
      <c r="A30" s="11" t="s">
        <v>73</v>
      </c>
      <c r="B30" s="12" t="s">
        <v>1818</v>
      </c>
      <c r="C30" s="12" t="s">
        <v>2029</v>
      </c>
      <c r="D30" s="12" t="s">
        <v>2029</v>
      </c>
      <c r="E30" s="12" t="s">
        <v>2030</v>
      </c>
      <c r="F30" s="12"/>
      <c r="G30" s="12"/>
      <c r="H30" s="12"/>
      <c r="I30" s="12" t="s">
        <v>2031</v>
      </c>
      <c r="J30" s="12" t="s">
        <v>1534</v>
      </c>
      <c r="K30" s="12"/>
      <c r="L30" s="12"/>
      <c r="M30" s="13">
        <v>8527</v>
      </c>
      <c r="N30" s="12" t="s">
        <v>2032</v>
      </c>
      <c r="O30" s="5"/>
    </row>
    <row r="31" spans="1:15">
      <c r="A31" s="5"/>
      <c r="B31" s="13">
        <v>17359</v>
      </c>
      <c r="C31" s="13">
        <v>27895</v>
      </c>
      <c r="D31" s="13">
        <v>2046</v>
      </c>
      <c r="E31" s="13">
        <v>1952</v>
      </c>
      <c r="F31" s="13"/>
      <c r="G31" s="13"/>
      <c r="H31" s="13"/>
      <c r="I31" s="13">
        <v>2069</v>
      </c>
      <c r="J31" s="13">
        <v>649</v>
      </c>
      <c r="K31" s="13"/>
      <c r="L31" s="13"/>
      <c r="M31" s="13"/>
      <c r="N31" s="14"/>
      <c r="O31" s="5"/>
    </row>
    <row r="32" spans="1:15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5"/>
    </row>
    <row r="33" spans="1:15">
      <c r="A33" s="28" t="s">
        <v>80</v>
      </c>
      <c r="B33" s="32" t="s">
        <v>2033</v>
      </c>
      <c r="C33" s="32" t="s">
        <v>1096</v>
      </c>
      <c r="D33" s="32" t="s">
        <v>1096</v>
      </c>
      <c r="E33" s="32" t="s">
        <v>1097</v>
      </c>
      <c r="F33" s="32"/>
      <c r="G33" s="32"/>
      <c r="H33" s="32"/>
      <c r="I33" s="32" t="s">
        <v>1807</v>
      </c>
      <c r="J33" s="32"/>
      <c r="K33" s="32"/>
      <c r="L33" s="32"/>
      <c r="M33" s="30">
        <v>9837</v>
      </c>
      <c r="N33" s="32" t="s">
        <v>1098</v>
      </c>
      <c r="O33" s="5"/>
    </row>
    <row r="34" spans="1:15">
      <c r="A34" s="31"/>
      <c r="B34" s="30">
        <v>15400</v>
      </c>
      <c r="C34" s="30">
        <v>21402</v>
      </c>
      <c r="D34" s="30">
        <v>1914</v>
      </c>
      <c r="E34" s="30">
        <v>1617</v>
      </c>
      <c r="F34" s="30"/>
      <c r="G34" s="30"/>
      <c r="H34" s="30"/>
      <c r="I34" s="30">
        <v>1212</v>
      </c>
      <c r="J34" s="30"/>
      <c r="K34" s="30"/>
      <c r="L34" s="30"/>
      <c r="M34" s="30"/>
      <c r="N34" s="33"/>
      <c r="O34" s="5"/>
    </row>
    <row r="35" spans="1:15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5"/>
    </row>
    <row r="36" spans="1:15">
      <c r="A36" s="11" t="s">
        <v>83</v>
      </c>
      <c r="B36" s="12" t="s">
        <v>939</v>
      </c>
      <c r="C36" s="12"/>
      <c r="D36" s="12" t="s">
        <v>1201</v>
      </c>
      <c r="E36" s="12" t="s">
        <v>941</v>
      </c>
      <c r="F36" s="12" t="s">
        <v>941</v>
      </c>
      <c r="G36" s="12"/>
      <c r="H36" s="12"/>
      <c r="I36" s="12" t="s">
        <v>1426</v>
      </c>
      <c r="J36" s="12"/>
      <c r="K36" s="12"/>
      <c r="L36" s="12"/>
      <c r="M36" s="13">
        <v>15721</v>
      </c>
      <c r="N36" s="12" t="s">
        <v>942</v>
      </c>
      <c r="O36" s="5"/>
    </row>
    <row r="37" spans="1:15">
      <c r="A37" s="5"/>
      <c r="B37" s="13">
        <v>20524</v>
      </c>
      <c r="C37" s="13"/>
      <c r="D37" s="13">
        <v>1515</v>
      </c>
      <c r="E37" s="13">
        <v>1973</v>
      </c>
      <c r="F37" s="13">
        <v>642</v>
      </c>
      <c r="G37" s="13"/>
      <c r="H37" s="13"/>
      <c r="I37" s="13">
        <v>1236</v>
      </c>
      <c r="J37" s="13"/>
      <c r="K37" s="13"/>
      <c r="L37" s="13"/>
      <c r="M37" s="13"/>
      <c r="N37" s="14"/>
      <c r="O37" s="5"/>
    </row>
    <row r="38" spans="1:15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5"/>
    </row>
    <row r="39" spans="1:15">
      <c r="A39" s="28" t="s">
        <v>91</v>
      </c>
      <c r="B39" s="32" t="s">
        <v>2034</v>
      </c>
      <c r="C39" s="32" t="s">
        <v>1820</v>
      </c>
      <c r="D39" s="32" t="s">
        <v>1820</v>
      </c>
      <c r="E39" s="32" t="s">
        <v>1821</v>
      </c>
      <c r="F39" s="32"/>
      <c r="G39" s="32"/>
      <c r="H39" s="32"/>
      <c r="I39" s="32" t="s">
        <v>1821</v>
      </c>
      <c r="J39" s="32"/>
      <c r="K39" s="32"/>
      <c r="L39" s="32"/>
      <c r="M39" s="30">
        <v>7936</v>
      </c>
      <c r="N39" s="32" t="s">
        <v>1823</v>
      </c>
      <c r="O39" s="5"/>
    </row>
    <row r="40" spans="1:15">
      <c r="A40" s="31"/>
      <c r="B40" s="30">
        <v>14544</v>
      </c>
      <c r="C40" s="30">
        <v>27152</v>
      </c>
      <c r="D40" s="30">
        <v>1981</v>
      </c>
      <c r="E40" s="30">
        <v>893</v>
      </c>
      <c r="F40" s="30"/>
      <c r="G40" s="30"/>
      <c r="H40" s="30"/>
      <c r="I40" s="30">
        <v>2122</v>
      </c>
      <c r="J40" s="30"/>
      <c r="K40" s="30"/>
      <c r="L40" s="30"/>
      <c r="M40" s="30"/>
      <c r="N40" s="33"/>
      <c r="O40" s="5"/>
    </row>
    <row r="41" spans="1: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5"/>
    </row>
    <row r="42" spans="1:15">
      <c r="A42" s="11" t="s">
        <v>94</v>
      </c>
      <c r="B42" s="12" t="s">
        <v>1824</v>
      </c>
      <c r="C42" s="12" t="s">
        <v>2035</v>
      </c>
      <c r="D42" s="12" t="s">
        <v>2035</v>
      </c>
      <c r="E42" s="12" t="s">
        <v>1625</v>
      </c>
      <c r="F42" s="12"/>
      <c r="G42" s="12"/>
      <c r="H42" s="12" t="s">
        <v>419</v>
      </c>
      <c r="I42" s="12"/>
      <c r="J42" s="12" t="s">
        <v>588</v>
      </c>
      <c r="K42" s="12"/>
      <c r="L42" s="15"/>
      <c r="M42" s="13">
        <v>9753</v>
      </c>
      <c r="N42" s="12" t="s">
        <v>1826</v>
      </c>
      <c r="O42" s="5"/>
    </row>
    <row r="43" spans="1:15">
      <c r="A43" s="5"/>
      <c r="B43" s="13">
        <v>29915</v>
      </c>
      <c r="C43" s="13">
        <v>14959</v>
      </c>
      <c r="D43" s="13">
        <v>1004</v>
      </c>
      <c r="E43" s="13">
        <v>723</v>
      </c>
      <c r="F43" s="13"/>
      <c r="G43" s="13"/>
      <c r="H43" s="13">
        <v>400</v>
      </c>
      <c r="I43" s="13"/>
      <c r="J43" s="13">
        <v>368</v>
      </c>
      <c r="K43" s="13"/>
      <c r="L43" s="13"/>
      <c r="M43" s="13"/>
      <c r="N43" s="14"/>
      <c r="O43" s="5"/>
    </row>
    <row r="44" spans="1:15">
      <c r="A44" s="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5"/>
    </row>
    <row r="45" spans="1:15">
      <c r="A45" s="28" t="s">
        <v>104</v>
      </c>
      <c r="B45" s="32" t="s">
        <v>747</v>
      </c>
      <c r="C45" s="32" t="s">
        <v>2036</v>
      </c>
      <c r="D45" s="32" t="s">
        <v>2037</v>
      </c>
      <c r="E45" s="32" t="s">
        <v>2038</v>
      </c>
      <c r="F45" s="32" t="s">
        <v>747</v>
      </c>
      <c r="G45" s="32"/>
      <c r="H45" s="32" t="s">
        <v>1829</v>
      </c>
      <c r="I45" s="32" t="s">
        <v>2038</v>
      </c>
      <c r="J45" s="32"/>
      <c r="K45" s="32"/>
      <c r="L45" s="29"/>
      <c r="M45" s="30">
        <v>8426</v>
      </c>
      <c r="N45" s="32" t="s">
        <v>2039</v>
      </c>
      <c r="O45" s="5"/>
    </row>
    <row r="46" spans="1:15">
      <c r="A46" s="31"/>
      <c r="B46" s="30">
        <v>16640</v>
      </c>
      <c r="C46" s="30">
        <v>25014</v>
      </c>
      <c r="D46" s="30">
        <v>1754</v>
      </c>
      <c r="E46" s="30">
        <v>791</v>
      </c>
      <c r="F46" s="30">
        <v>333</v>
      </c>
      <c r="G46" s="30"/>
      <c r="H46" s="30">
        <v>445</v>
      </c>
      <c r="I46" s="30">
        <v>2024</v>
      </c>
      <c r="J46" s="30"/>
      <c r="K46" s="30"/>
      <c r="L46" s="29"/>
      <c r="M46" s="30"/>
      <c r="N46" s="33"/>
      <c r="O46" s="5"/>
    </row>
    <row r="47" spans="1:15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5"/>
    </row>
    <row r="48" spans="1:15">
      <c r="A48" s="11" t="s">
        <v>110</v>
      </c>
      <c r="B48" s="12" t="s">
        <v>2040</v>
      </c>
      <c r="C48" s="12" t="s">
        <v>1627</v>
      </c>
      <c r="D48" s="12" t="s">
        <v>1627</v>
      </c>
      <c r="E48" s="12" t="s">
        <v>1627</v>
      </c>
      <c r="F48" s="12" t="s">
        <v>1627</v>
      </c>
      <c r="G48" s="12"/>
      <c r="H48" s="12" t="s">
        <v>2040</v>
      </c>
      <c r="I48" s="12" t="s">
        <v>871</v>
      </c>
      <c r="J48" s="12"/>
      <c r="K48" s="12"/>
      <c r="L48" s="15"/>
      <c r="M48" s="13">
        <v>7990</v>
      </c>
      <c r="N48" s="12" t="s">
        <v>2041</v>
      </c>
      <c r="O48" s="5"/>
    </row>
    <row r="49" spans="1:15">
      <c r="A49" s="5"/>
      <c r="B49" s="13">
        <v>16618</v>
      </c>
      <c r="C49" s="13">
        <v>26337</v>
      </c>
      <c r="D49" s="13">
        <v>1500</v>
      </c>
      <c r="E49" s="13">
        <v>943</v>
      </c>
      <c r="F49" s="13">
        <v>407</v>
      </c>
      <c r="G49" s="13"/>
      <c r="H49" s="13">
        <v>338</v>
      </c>
      <c r="I49" s="13">
        <v>1110</v>
      </c>
      <c r="J49" s="13"/>
      <c r="K49" s="13"/>
      <c r="L49" s="13"/>
      <c r="M49" s="13"/>
      <c r="N49" s="14"/>
      <c r="O49" s="5"/>
    </row>
    <row r="50" spans="1:15">
      <c r="A50" s="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5"/>
    </row>
    <row r="51" spans="1:15">
      <c r="A51" s="28" t="s">
        <v>114</v>
      </c>
      <c r="B51" s="32" t="s">
        <v>1464</v>
      </c>
      <c r="C51" s="32" t="s">
        <v>2042</v>
      </c>
      <c r="D51" s="32" t="s">
        <v>2042</v>
      </c>
      <c r="E51" s="32" t="s">
        <v>1631</v>
      </c>
      <c r="F51" s="32" t="s">
        <v>1466</v>
      </c>
      <c r="G51" s="32"/>
      <c r="H51" s="32" t="s">
        <v>1466</v>
      </c>
      <c r="I51" s="32" t="s">
        <v>2042</v>
      </c>
      <c r="J51" s="32"/>
      <c r="K51" s="32"/>
      <c r="L51" s="29"/>
      <c r="M51" s="30">
        <v>8343</v>
      </c>
      <c r="N51" s="32" t="s">
        <v>1467</v>
      </c>
      <c r="O51" s="5"/>
    </row>
    <row r="52" spans="1:15">
      <c r="A52" s="31"/>
      <c r="B52" s="30">
        <v>33364</v>
      </c>
      <c r="C52" s="30">
        <v>13512</v>
      </c>
      <c r="D52" s="30">
        <v>771</v>
      </c>
      <c r="E52" s="30">
        <v>834</v>
      </c>
      <c r="F52" s="30">
        <v>701</v>
      </c>
      <c r="G52" s="30"/>
      <c r="H52" s="30">
        <v>722</v>
      </c>
      <c r="I52" s="30">
        <v>770</v>
      </c>
      <c r="J52" s="30"/>
      <c r="K52" s="30"/>
      <c r="L52" s="30"/>
      <c r="M52" s="30"/>
      <c r="N52" s="33"/>
      <c r="O52" s="5"/>
    </row>
    <row r="53" spans="1:15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5"/>
    </row>
    <row r="54" spans="1:15">
      <c r="A54" s="11" t="s">
        <v>128</v>
      </c>
      <c r="B54" s="12" t="s">
        <v>2043</v>
      </c>
      <c r="C54" s="12" t="s">
        <v>1632</v>
      </c>
      <c r="D54" s="12" t="s">
        <v>1632</v>
      </c>
      <c r="E54" s="12" t="s">
        <v>1632</v>
      </c>
      <c r="F54" s="12" t="s">
        <v>2043</v>
      </c>
      <c r="G54" s="12"/>
      <c r="H54" s="12" t="s">
        <v>2043</v>
      </c>
      <c r="I54" s="12" t="s">
        <v>2044</v>
      </c>
      <c r="J54" s="12" t="s">
        <v>2256</v>
      </c>
      <c r="K54" s="12"/>
      <c r="L54" s="15"/>
      <c r="M54" s="13">
        <v>8659</v>
      </c>
      <c r="N54" s="12" t="s">
        <v>1633</v>
      </c>
      <c r="O54" s="5"/>
    </row>
    <row r="55" spans="1:15">
      <c r="A55" s="5"/>
      <c r="B55" s="13">
        <v>16264</v>
      </c>
      <c r="C55" s="13">
        <v>26026</v>
      </c>
      <c r="D55" s="13">
        <v>1865</v>
      </c>
      <c r="E55" s="13">
        <v>913</v>
      </c>
      <c r="F55" s="13">
        <v>267</v>
      </c>
      <c r="G55" s="13"/>
      <c r="H55" s="13">
        <v>296</v>
      </c>
      <c r="I55" s="13">
        <v>1588</v>
      </c>
      <c r="J55" s="13">
        <v>372</v>
      </c>
      <c r="K55" s="13"/>
      <c r="L55" s="13"/>
      <c r="M55" s="13"/>
      <c r="N55" s="14"/>
      <c r="O55" s="5"/>
    </row>
    <row r="56" spans="1:15">
      <c r="A56" s="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5"/>
    </row>
    <row r="57" spans="1:15">
      <c r="A57" s="28" t="s">
        <v>133</v>
      </c>
      <c r="B57" s="32" t="s">
        <v>2045</v>
      </c>
      <c r="C57" s="32" t="s">
        <v>1835</v>
      </c>
      <c r="D57" s="32" t="s">
        <v>1835</v>
      </c>
      <c r="E57" s="32" t="s">
        <v>1835</v>
      </c>
      <c r="F57" s="32"/>
      <c r="G57" s="32"/>
      <c r="H57" s="32" t="s">
        <v>2045</v>
      </c>
      <c r="I57" s="32" t="s">
        <v>1835</v>
      </c>
      <c r="J57" s="32"/>
      <c r="K57" s="32"/>
      <c r="L57" s="32"/>
      <c r="M57" s="30">
        <v>6172</v>
      </c>
      <c r="N57" s="32" t="s">
        <v>2046</v>
      </c>
      <c r="O57" s="5"/>
    </row>
    <row r="58" spans="1:15">
      <c r="A58" s="31"/>
      <c r="B58" s="30">
        <v>24886</v>
      </c>
      <c r="C58" s="30">
        <v>4990</v>
      </c>
      <c r="D58" s="30">
        <v>304</v>
      </c>
      <c r="E58" s="30">
        <v>664</v>
      </c>
      <c r="F58" s="30"/>
      <c r="G58" s="30"/>
      <c r="H58" s="30">
        <v>411</v>
      </c>
      <c r="I58" s="30">
        <v>513</v>
      </c>
      <c r="J58" s="30"/>
      <c r="K58" s="30"/>
      <c r="L58" s="30"/>
      <c r="M58" s="30"/>
      <c r="N58" s="33"/>
      <c r="O58" s="5"/>
    </row>
    <row r="59" spans="1:15">
      <c r="A59" s="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5"/>
    </row>
    <row r="60" spans="1:15">
      <c r="A60" s="11" t="s">
        <v>138</v>
      </c>
      <c r="B60" s="12" t="s">
        <v>2047</v>
      </c>
      <c r="C60" s="12" t="s">
        <v>285</v>
      </c>
      <c r="D60" s="12" t="s">
        <v>285</v>
      </c>
      <c r="E60" s="12" t="s">
        <v>285</v>
      </c>
      <c r="F60" s="12" t="s">
        <v>2047</v>
      </c>
      <c r="G60" s="12"/>
      <c r="H60" s="12" t="s">
        <v>2048</v>
      </c>
      <c r="I60" s="12" t="s">
        <v>285</v>
      </c>
      <c r="J60" s="12" t="s">
        <v>2047</v>
      </c>
      <c r="K60" s="12"/>
      <c r="L60" s="15"/>
      <c r="M60" s="13">
        <v>8358</v>
      </c>
      <c r="N60" s="12" t="s">
        <v>2049</v>
      </c>
      <c r="O60" s="5"/>
    </row>
    <row r="61" spans="1:15">
      <c r="A61" s="5"/>
      <c r="B61" s="13">
        <v>21034</v>
      </c>
      <c r="C61" s="13">
        <v>21716</v>
      </c>
      <c r="D61" s="13">
        <v>1294</v>
      </c>
      <c r="E61" s="13">
        <v>664</v>
      </c>
      <c r="F61" s="13">
        <v>352</v>
      </c>
      <c r="G61" s="13"/>
      <c r="H61" s="13">
        <v>292</v>
      </c>
      <c r="I61" s="13">
        <v>1668</v>
      </c>
      <c r="J61" s="13">
        <v>424</v>
      </c>
      <c r="K61" s="13"/>
      <c r="L61" s="13"/>
      <c r="M61" s="13"/>
      <c r="N61" s="14"/>
      <c r="O61" s="5"/>
    </row>
    <row r="62" spans="1:15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5"/>
    </row>
    <row r="63" spans="1:15" ht="17.25">
      <c r="A63" s="5" t="s">
        <v>2248</v>
      </c>
      <c r="B63" s="15" t="s">
        <v>2047</v>
      </c>
      <c r="C63" s="15" t="s">
        <v>213</v>
      </c>
      <c r="D63" s="15" t="s">
        <v>213</v>
      </c>
      <c r="E63" s="15" t="s">
        <v>213</v>
      </c>
      <c r="F63" s="12" t="s">
        <v>2047</v>
      </c>
      <c r="G63" s="12"/>
      <c r="H63" s="15" t="s">
        <v>2048</v>
      </c>
      <c r="I63" s="13"/>
      <c r="J63" s="12" t="s">
        <v>2047</v>
      </c>
      <c r="K63" s="13"/>
      <c r="L63" s="15"/>
      <c r="M63" s="13">
        <v>14</v>
      </c>
      <c r="N63" s="15" t="s">
        <v>214</v>
      </c>
      <c r="O63" s="5"/>
    </row>
    <row r="64" spans="1:15">
      <c r="A64" s="5"/>
      <c r="B64" s="13">
        <v>4995</v>
      </c>
      <c r="C64" s="13">
        <v>4894</v>
      </c>
      <c r="D64" s="13">
        <v>529</v>
      </c>
      <c r="E64" s="13">
        <v>136</v>
      </c>
      <c r="F64" s="13">
        <v>116</v>
      </c>
      <c r="G64" s="13"/>
      <c r="H64" s="13">
        <v>12</v>
      </c>
      <c r="I64" s="13"/>
      <c r="J64" s="13">
        <v>102</v>
      </c>
      <c r="K64" s="13"/>
      <c r="L64" s="13"/>
      <c r="M64" s="13"/>
      <c r="N64" s="13"/>
      <c r="O64" s="5"/>
    </row>
    <row r="65" spans="1:15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5"/>
    </row>
    <row r="66" spans="1:15">
      <c r="A66" s="28" t="s">
        <v>141</v>
      </c>
      <c r="B66" s="32" t="s">
        <v>947</v>
      </c>
      <c r="C66" s="32" t="s">
        <v>1395</v>
      </c>
      <c r="D66" s="32" t="s">
        <v>1395</v>
      </c>
      <c r="E66" s="32" t="s">
        <v>1637</v>
      </c>
      <c r="F66" s="32"/>
      <c r="G66" s="32"/>
      <c r="H66" s="32" t="s">
        <v>949</v>
      </c>
      <c r="I66" s="32" t="s">
        <v>1395</v>
      </c>
      <c r="J66" s="32"/>
      <c r="K66" s="32"/>
      <c r="L66" s="29"/>
      <c r="M66" s="30">
        <v>8445</v>
      </c>
      <c r="N66" s="32" t="s">
        <v>951</v>
      </c>
      <c r="O66" s="5"/>
    </row>
    <row r="67" spans="1:15">
      <c r="A67" s="31"/>
      <c r="B67" s="30">
        <v>33327</v>
      </c>
      <c r="C67" s="30">
        <v>11696</v>
      </c>
      <c r="D67" s="30">
        <v>691</v>
      </c>
      <c r="E67" s="30">
        <v>1022</v>
      </c>
      <c r="F67" s="30"/>
      <c r="G67" s="30"/>
      <c r="H67" s="30">
        <v>567</v>
      </c>
      <c r="I67" s="30">
        <v>718</v>
      </c>
      <c r="J67" s="30"/>
      <c r="K67" s="30"/>
      <c r="L67" s="30"/>
      <c r="M67" s="30"/>
      <c r="N67" s="33"/>
      <c r="O67" s="5"/>
    </row>
    <row r="68" spans="1:15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5"/>
    </row>
    <row r="69" spans="1:15">
      <c r="A69" s="11" t="s">
        <v>147</v>
      </c>
      <c r="B69" s="12" t="s">
        <v>2050</v>
      </c>
      <c r="C69" s="12" t="s">
        <v>1302</v>
      </c>
      <c r="D69" s="12" t="s">
        <v>1302</v>
      </c>
      <c r="E69" s="12" t="s">
        <v>2050</v>
      </c>
      <c r="F69" s="12" t="s">
        <v>2050</v>
      </c>
      <c r="G69" s="12"/>
      <c r="H69" s="12" t="s">
        <v>2050</v>
      </c>
      <c r="I69" s="12" t="s">
        <v>1302</v>
      </c>
      <c r="J69" s="12" t="s">
        <v>1302</v>
      </c>
      <c r="K69" s="12"/>
      <c r="L69" s="15"/>
      <c r="M69" s="13">
        <v>9301</v>
      </c>
      <c r="N69" s="12" t="s">
        <v>1303</v>
      </c>
      <c r="O69" s="5"/>
    </row>
    <row r="70" spans="1:15">
      <c r="A70" s="5"/>
      <c r="B70" s="13">
        <v>18729</v>
      </c>
      <c r="C70" s="13">
        <v>23105</v>
      </c>
      <c r="D70" s="13">
        <v>1411</v>
      </c>
      <c r="E70" s="13">
        <v>411</v>
      </c>
      <c r="F70" s="13">
        <v>368</v>
      </c>
      <c r="G70" s="13"/>
      <c r="H70" s="13">
        <v>323</v>
      </c>
      <c r="I70" s="13">
        <v>2155</v>
      </c>
      <c r="J70" s="13">
        <v>332</v>
      </c>
      <c r="K70" s="13"/>
      <c r="L70" s="13"/>
      <c r="M70" s="13"/>
      <c r="N70" s="14"/>
      <c r="O70" s="5"/>
    </row>
    <row r="71" spans="1:15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5"/>
    </row>
    <row r="72" spans="1:15">
      <c r="A72" s="34" t="s">
        <v>152</v>
      </c>
      <c r="B72" s="32" t="s">
        <v>2051</v>
      </c>
      <c r="C72" s="32" t="s">
        <v>2052</v>
      </c>
      <c r="D72" s="32" t="s">
        <v>2052</v>
      </c>
      <c r="E72" s="32" t="s">
        <v>1312</v>
      </c>
      <c r="F72" s="32"/>
      <c r="G72" s="32"/>
      <c r="H72" s="32" t="s">
        <v>2053</v>
      </c>
      <c r="I72" s="32" t="s">
        <v>2054</v>
      </c>
      <c r="J72" s="32"/>
      <c r="K72" s="32"/>
      <c r="L72" s="32"/>
      <c r="M72" s="30">
        <v>7695</v>
      </c>
      <c r="N72" s="32" t="s">
        <v>1313</v>
      </c>
      <c r="O72" s="5"/>
    </row>
    <row r="73" spans="1:15">
      <c r="A73" s="31"/>
      <c r="B73" s="30">
        <v>16676</v>
      </c>
      <c r="C73" s="30">
        <v>23433</v>
      </c>
      <c r="D73" s="30">
        <v>1432</v>
      </c>
      <c r="E73" s="30">
        <v>829</v>
      </c>
      <c r="F73" s="30"/>
      <c r="G73" s="30"/>
      <c r="H73" s="30">
        <v>328</v>
      </c>
      <c r="I73" s="30">
        <v>1078</v>
      </c>
      <c r="J73" s="30"/>
      <c r="K73" s="30"/>
      <c r="L73" s="30"/>
      <c r="M73" s="30"/>
      <c r="N73" s="33"/>
      <c r="O73" s="5"/>
    </row>
    <row r="74" spans="1:15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5"/>
    </row>
    <row r="75" spans="1:15">
      <c r="A75" s="11" t="s">
        <v>156</v>
      </c>
      <c r="B75" s="12" t="s">
        <v>1110</v>
      </c>
      <c r="C75" s="12" t="s">
        <v>2055</v>
      </c>
      <c r="D75" s="12" t="s">
        <v>2055</v>
      </c>
      <c r="E75" s="12"/>
      <c r="F75" s="12" t="s">
        <v>1112</v>
      </c>
      <c r="G75" s="12"/>
      <c r="H75" s="12" t="s">
        <v>1112</v>
      </c>
      <c r="I75" s="12"/>
      <c r="J75" s="12"/>
      <c r="K75" s="12"/>
      <c r="L75" s="15"/>
      <c r="M75" s="13">
        <v>6792</v>
      </c>
      <c r="N75" s="12" t="s">
        <v>1113</v>
      </c>
      <c r="O75" s="5"/>
    </row>
    <row r="76" spans="1:15">
      <c r="A76" s="5"/>
      <c r="B76" s="13">
        <v>22492</v>
      </c>
      <c r="C76" s="13">
        <v>7904</v>
      </c>
      <c r="D76" s="13">
        <v>1143</v>
      </c>
      <c r="E76" s="13"/>
      <c r="F76" s="13">
        <v>722</v>
      </c>
      <c r="G76" s="13"/>
      <c r="H76" s="13">
        <v>610</v>
      </c>
      <c r="I76" s="13"/>
      <c r="J76" s="13"/>
      <c r="K76" s="13"/>
      <c r="L76" s="13"/>
      <c r="M76" s="13"/>
      <c r="N76" s="14"/>
      <c r="O76" s="5"/>
    </row>
    <row r="77" spans="1:15">
      <c r="A77" s="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5"/>
    </row>
    <row r="78" spans="1:15">
      <c r="A78" s="34" t="s">
        <v>163</v>
      </c>
      <c r="B78" s="32" t="s">
        <v>164</v>
      </c>
      <c r="C78" s="32" t="s">
        <v>2056</v>
      </c>
      <c r="D78" s="32" t="s">
        <v>2056</v>
      </c>
      <c r="E78" s="32"/>
      <c r="F78" s="32"/>
      <c r="G78" s="32"/>
      <c r="H78" s="32" t="s">
        <v>789</v>
      </c>
      <c r="I78" s="32" t="s">
        <v>2056</v>
      </c>
      <c r="J78" s="32"/>
      <c r="K78" s="32"/>
      <c r="L78" s="29"/>
      <c r="M78" s="30">
        <v>9960</v>
      </c>
      <c r="N78" s="32" t="s">
        <v>1476</v>
      </c>
      <c r="O78" s="5"/>
    </row>
    <row r="79" spans="1:15">
      <c r="A79" s="31"/>
      <c r="B79" s="30">
        <v>27142</v>
      </c>
      <c r="C79" s="30">
        <v>7951</v>
      </c>
      <c r="D79" s="30">
        <v>829</v>
      </c>
      <c r="E79" s="30"/>
      <c r="F79" s="30"/>
      <c r="G79" s="30"/>
      <c r="H79" s="30">
        <v>730</v>
      </c>
      <c r="I79" s="30">
        <v>309</v>
      </c>
      <c r="J79" s="30"/>
      <c r="K79" s="30"/>
      <c r="L79" s="30"/>
      <c r="M79" s="30"/>
      <c r="N79" s="33"/>
      <c r="O79" s="5"/>
    </row>
    <row r="80" spans="1:15">
      <c r="A80" s="5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5"/>
    </row>
    <row r="81" spans="1:15">
      <c r="A81" s="11" t="s">
        <v>168</v>
      </c>
      <c r="B81" s="12" t="s">
        <v>1642</v>
      </c>
      <c r="C81" s="12"/>
      <c r="D81" s="12"/>
      <c r="E81" s="12"/>
      <c r="F81" s="12" t="s">
        <v>278</v>
      </c>
      <c r="G81" s="12"/>
      <c r="H81" s="12" t="s">
        <v>278</v>
      </c>
      <c r="I81" s="12"/>
      <c r="J81" s="12"/>
      <c r="K81" s="12"/>
      <c r="L81" s="15"/>
      <c r="M81" s="13">
        <v>11170</v>
      </c>
      <c r="N81" s="12" t="s">
        <v>1643</v>
      </c>
      <c r="O81" s="5"/>
    </row>
    <row r="82" spans="1:15">
      <c r="A82" s="5"/>
      <c r="B82" s="13">
        <v>14781</v>
      </c>
      <c r="C82" s="13"/>
      <c r="D82" s="13"/>
      <c r="E82" s="13"/>
      <c r="F82" s="13">
        <v>502</v>
      </c>
      <c r="G82" s="13"/>
      <c r="H82" s="13">
        <v>428</v>
      </c>
      <c r="I82" s="13"/>
      <c r="J82" s="13"/>
      <c r="K82" s="13"/>
      <c r="L82" s="13"/>
      <c r="M82" s="13"/>
      <c r="N82" s="14"/>
      <c r="O82" s="5"/>
    </row>
    <row r="83" spans="1:15">
      <c r="A83" s="5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5"/>
    </row>
    <row r="84" spans="1:15">
      <c r="A84" s="28" t="s">
        <v>174</v>
      </c>
      <c r="B84" s="32" t="s">
        <v>1316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0">
        <v>21189</v>
      </c>
      <c r="N84" s="32" t="s">
        <v>1318</v>
      </c>
      <c r="O84" s="5"/>
    </row>
    <row r="85" spans="1:15">
      <c r="A85" s="31"/>
      <c r="B85" s="30">
        <v>25486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3"/>
      <c r="O85" s="5"/>
    </row>
    <row r="86" spans="1: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>
      <c r="A87" s="8" t="s">
        <v>176</v>
      </c>
      <c r="B87" s="12" t="s">
        <v>1119</v>
      </c>
      <c r="C87" s="12"/>
      <c r="D87" s="12"/>
      <c r="E87" s="12"/>
      <c r="F87" s="12"/>
      <c r="G87" s="12"/>
      <c r="H87" s="12" t="s">
        <v>1120</v>
      </c>
      <c r="I87" s="12"/>
      <c r="J87" s="12"/>
      <c r="K87" s="12"/>
      <c r="L87" s="15"/>
      <c r="M87" s="13">
        <v>15175</v>
      </c>
      <c r="N87" s="12" t="s">
        <v>1121</v>
      </c>
      <c r="O87" s="5"/>
    </row>
    <row r="88" spans="1:15">
      <c r="A88" s="5"/>
      <c r="B88" s="13">
        <v>22606</v>
      </c>
      <c r="C88" s="13"/>
      <c r="D88" s="13"/>
      <c r="E88" s="13"/>
      <c r="F88" s="13"/>
      <c r="G88" s="13"/>
      <c r="H88" s="13">
        <v>739</v>
      </c>
      <c r="I88" s="13"/>
      <c r="J88" s="13"/>
      <c r="K88" s="13"/>
      <c r="L88" s="13"/>
      <c r="M88" s="13"/>
      <c r="N88" s="14"/>
      <c r="O88" s="5"/>
    </row>
    <row r="89" spans="1:15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4"/>
      <c r="O89" s="5"/>
    </row>
    <row r="90" spans="1:15">
      <c r="A90" s="34" t="s">
        <v>179</v>
      </c>
      <c r="B90" s="32" t="s">
        <v>1458</v>
      </c>
      <c r="C90" s="32" t="s">
        <v>2058</v>
      </c>
      <c r="D90" s="32" t="s">
        <v>2058</v>
      </c>
      <c r="E90" s="32" t="s">
        <v>2058</v>
      </c>
      <c r="F90" s="32"/>
      <c r="G90" s="32"/>
      <c r="H90" s="32" t="s">
        <v>1458</v>
      </c>
      <c r="I90" s="32"/>
      <c r="J90" s="32"/>
      <c r="K90" s="32"/>
      <c r="L90" s="32"/>
      <c r="M90" s="30">
        <v>9383</v>
      </c>
      <c r="N90" s="29" t="s">
        <v>1845</v>
      </c>
      <c r="O90" s="5"/>
    </row>
    <row r="91" spans="1:15">
      <c r="A91" s="31"/>
      <c r="B91" s="30">
        <v>23960</v>
      </c>
      <c r="C91" s="30">
        <v>8354</v>
      </c>
      <c r="D91" s="30">
        <v>686</v>
      </c>
      <c r="E91" s="30">
        <v>231</v>
      </c>
      <c r="F91" s="30"/>
      <c r="G91" s="30"/>
      <c r="H91" s="30">
        <v>710</v>
      </c>
      <c r="I91" s="30"/>
      <c r="J91" s="30"/>
      <c r="K91" s="30"/>
      <c r="L91" s="30"/>
      <c r="M91" s="30"/>
      <c r="N91" s="33"/>
      <c r="O91" s="5"/>
    </row>
    <row r="92" spans="1:15">
      <c r="A92" s="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5"/>
    </row>
    <row r="93" spans="1:15">
      <c r="A93" s="11" t="s">
        <v>181</v>
      </c>
      <c r="B93" s="12" t="s">
        <v>790</v>
      </c>
      <c r="C93" s="12"/>
      <c r="D93" s="12"/>
      <c r="E93" s="12" t="s">
        <v>587</v>
      </c>
      <c r="F93" s="12" t="s">
        <v>791</v>
      </c>
      <c r="G93" s="12"/>
      <c r="H93" s="12" t="s">
        <v>791</v>
      </c>
      <c r="I93" s="12"/>
      <c r="J93" s="12"/>
      <c r="K93" s="12"/>
      <c r="L93" s="15"/>
      <c r="M93" s="13">
        <v>9775</v>
      </c>
      <c r="N93" s="15" t="s">
        <v>792</v>
      </c>
      <c r="O93" s="5"/>
    </row>
    <row r="94" spans="1:15">
      <c r="A94" s="5"/>
      <c r="B94" s="13">
        <v>28254</v>
      </c>
      <c r="C94" s="13"/>
      <c r="D94" s="13"/>
      <c r="E94" s="13">
        <v>472</v>
      </c>
      <c r="F94" s="13">
        <v>619</v>
      </c>
      <c r="G94" s="13"/>
      <c r="H94" s="13">
        <v>420</v>
      </c>
      <c r="I94" s="13"/>
      <c r="J94" s="13"/>
      <c r="K94" s="13"/>
      <c r="L94" s="13"/>
      <c r="M94" s="13"/>
      <c r="N94" s="13"/>
      <c r="O94" s="5"/>
    </row>
    <row r="95" spans="1: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>
      <c r="A96" s="33" t="s">
        <v>4</v>
      </c>
      <c r="B96" s="32" t="s">
        <v>793</v>
      </c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0">
        <v>17491</v>
      </c>
      <c r="N96" s="32" t="s">
        <v>794</v>
      </c>
      <c r="O96" s="5"/>
    </row>
    <row r="97" spans="1:15">
      <c r="A97" s="30"/>
      <c r="B97" s="30">
        <v>17295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3"/>
      <c r="O97" s="5"/>
    </row>
    <row r="98" spans="1: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5"/>
    </row>
    <row r="99" spans="1:15">
      <c r="A99" s="14" t="s">
        <v>12</v>
      </c>
      <c r="B99" s="12" t="s">
        <v>2059</v>
      </c>
      <c r="C99" s="12"/>
      <c r="D99" s="12"/>
      <c r="E99" s="12" t="s">
        <v>2060</v>
      </c>
      <c r="F99" s="12"/>
      <c r="G99" s="12"/>
      <c r="H99" s="12"/>
      <c r="I99" s="12"/>
      <c r="J99" s="12"/>
      <c r="K99" s="12"/>
      <c r="L99" s="12"/>
      <c r="M99" s="13">
        <v>9678</v>
      </c>
      <c r="N99" s="12" t="s">
        <v>2061</v>
      </c>
      <c r="O99" s="5"/>
    </row>
    <row r="100" spans="1:15">
      <c r="A100" s="13"/>
      <c r="B100" s="13">
        <v>22451</v>
      </c>
      <c r="C100" s="13"/>
      <c r="D100" s="13"/>
      <c r="E100" s="13">
        <v>1049</v>
      </c>
      <c r="F100" s="13"/>
      <c r="G100" s="13"/>
      <c r="H100" s="13"/>
      <c r="I100" s="13"/>
      <c r="J100" s="13"/>
      <c r="K100" s="13"/>
      <c r="L100" s="13"/>
      <c r="M100" s="13"/>
      <c r="N100" s="14"/>
      <c r="O100" s="5"/>
    </row>
    <row r="101" spans="1: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5"/>
    </row>
    <row r="102" spans="1:15">
      <c r="A102" s="33" t="s">
        <v>19</v>
      </c>
      <c r="B102" s="32" t="s">
        <v>20</v>
      </c>
      <c r="C102" s="32"/>
      <c r="D102" s="32"/>
      <c r="E102" s="32"/>
      <c r="F102" s="32"/>
      <c r="G102" s="32"/>
      <c r="H102" s="32" t="s">
        <v>1441</v>
      </c>
      <c r="I102" s="32"/>
      <c r="J102" s="32"/>
      <c r="K102" s="32"/>
      <c r="L102" s="32"/>
      <c r="M102" s="30">
        <v>9317</v>
      </c>
      <c r="N102" s="32" t="s">
        <v>21</v>
      </c>
      <c r="O102" s="5"/>
    </row>
    <row r="103" spans="1:15">
      <c r="A103" s="30"/>
      <c r="B103" s="30">
        <v>25169</v>
      </c>
      <c r="C103" s="30"/>
      <c r="D103" s="30"/>
      <c r="E103" s="30"/>
      <c r="F103" s="30"/>
      <c r="G103" s="30"/>
      <c r="H103" s="30">
        <v>507</v>
      </c>
      <c r="I103" s="30"/>
      <c r="J103" s="30"/>
      <c r="K103" s="30"/>
      <c r="L103" s="30"/>
      <c r="M103" s="30"/>
      <c r="N103" s="33"/>
      <c r="O103" s="5"/>
    </row>
    <row r="104" spans="1: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5"/>
    </row>
    <row r="105" spans="1:15">
      <c r="A105" s="14" t="s">
        <v>30</v>
      </c>
      <c r="B105" s="12" t="s">
        <v>795</v>
      </c>
      <c r="C105" s="12" t="s">
        <v>2062</v>
      </c>
      <c r="D105" s="12" t="s">
        <v>2062</v>
      </c>
      <c r="E105" s="12" t="s">
        <v>2062</v>
      </c>
      <c r="F105" s="12"/>
      <c r="G105" s="12"/>
      <c r="H105" s="12" t="s">
        <v>796</v>
      </c>
      <c r="I105" s="12"/>
      <c r="J105" s="12"/>
      <c r="K105" s="12"/>
      <c r="L105" s="12"/>
      <c r="M105" s="13">
        <v>8589</v>
      </c>
      <c r="N105" s="12" t="s">
        <v>797</v>
      </c>
      <c r="O105" s="5"/>
    </row>
    <row r="106" spans="1:15">
      <c r="A106" s="13"/>
      <c r="B106" s="13">
        <v>30866</v>
      </c>
      <c r="C106" s="13">
        <v>3224</v>
      </c>
      <c r="D106" s="13">
        <v>390</v>
      </c>
      <c r="E106" s="13">
        <v>237</v>
      </c>
      <c r="F106" s="13"/>
      <c r="G106" s="13"/>
      <c r="H106" s="13">
        <v>664</v>
      </c>
      <c r="I106" s="13"/>
      <c r="J106" s="13"/>
      <c r="K106" s="13"/>
      <c r="L106" s="14"/>
      <c r="M106" s="13"/>
      <c r="N106" s="14"/>
      <c r="O106" s="5"/>
    </row>
    <row r="107" spans="1: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5"/>
    </row>
    <row r="108" spans="1:15">
      <c r="A108" s="33" t="s">
        <v>34</v>
      </c>
      <c r="B108" s="32" t="s">
        <v>1483</v>
      </c>
      <c r="C108" s="32" t="s">
        <v>2063</v>
      </c>
      <c r="D108" s="32" t="s">
        <v>2063</v>
      </c>
      <c r="E108" s="32"/>
      <c r="F108" s="32" t="s">
        <v>1605</v>
      </c>
      <c r="G108" s="32"/>
      <c r="H108" s="32" t="s">
        <v>1605</v>
      </c>
      <c r="I108" s="32"/>
      <c r="J108" s="32"/>
      <c r="K108" s="32"/>
      <c r="L108" s="32"/>
      <c r="M108" s="30">
        <v>5273</v>
      </c>
      <c r="N108" s="32" t="s">
        <v>1484</v>
      </c>
      <c r="O108" s="5"/>
    </row>
    <row r="109" spans="1:15">
      <c r="A109" s="30"/>
      <c r="B109" s="30">
        <v>15619</v>
      </c>
      <c r="C109" s="30">
        <v>2668</v>
      </c>
      <c r="D109" s="30">
        <v>277</v>
      </c>
      <c r="E109" s="30"/>
      <c r="F109" s="30">
        <v>364</v>
      </c>
      <c r="G109" s="30"/>
      <c r="H109" s="30">
        <v>318</v>
      </c>
      <c r="I109" s="33"/>
      <c r="J109" s="33"/>
      <c r="K109" s="33"/>
      <c r="L109" s="33"/>
      <c r="M109" s="30"/>
      <c r="N109" s="33"/>
      <c r="O109" s="5"/>
    </row>
    <row r="110" spans="1: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5"/>
    </row>
    <row r="111" spans="1:15">
      <c r="A111" s="14" t="s">
        <v>41</v>
      </c>
      <c r="B111" s="12" t="s">
        <v>42</v>
      </c>
      <c r="C111" s="12"/>
      <c r="D111" s="12"/>
      <c r="E111" s="12"/>
      <c r="F111" s="12"/>
      <c r="G111" s="12"/>
      <c r="H111" s="12" t="s">
        <v>957</v>
      </c>
      <c r="I111" s="12"/>
      <c r="J111" s="12"/>
      <c r="K111" s="12"/>
      <c r="L111" s="12"/>
      <c r="M111" s="13">
        <v>8811</v>
      </c>
      <c r="N111" s="12" t="s">
        <v>43</v>
      </c>
      <c r="O111" s="5"/>
    </row>
    <row r="112" spans="1:15">
      <c r="A112" s="13"/>
      <c r="B112" s="13">
        <v>16289</v>
      </c>
      <c r="C112" s="13"/>
      <c r="D112" s="13"/>
      <c r="E112" s="13"/>
      <c r="F112" s="13"/>
      <c r="G112" s="13"/>
      <c r="H112" s="13">
        <v>342</v>
      </c>
      <c r="I112" s="14"/>
      <c r="J112" s="14"/>
      <c r="K112" s="14"/>
      <c r="L112" s="14"/>
      <c r="M112" s="13"/>
      <c r="N112" s="14"/>
      <c r="O112" s="5"/>
    </row>
    <row r="113" spans="1: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5"/>
    </row>
    <row r="114" spans="1:15">
      <c r="A114" s="33" t="s">
        <v>47</v>
      </c>
      <c r="B114" s="32" t="s">
        <v>1321</v>
      </c>
      <c r="C114" s="32" t="s">
        <v>1118</v>
      </c>
      <c r="D114" s="32" t="s">
        <v>1118</v>
      </c>
      <c r="E114" s="32" t="s">
        <v>2064</v>
      </c>
      <c r="F114" s="32"/>
      <c r="G114" s="32"/>
      <c r="H114" s="32"/>
      <c r="I114" s="32" t="s">
        <v>1118</v>
      </c>
      <c r="J114" s="32"/>
      <c r="K114" s="32"/>
      <c r="L114" s="32"/>
      <c r="M114" s="30">
        <v>6907</v>
      </c>
      <c r="N114" s="32" t="s">
        <v>1322</v>
      </c>
      <c r="O114" s="5"/>
    </row>
    <row r="115" spans="1:15">
      <c r="A115" s="30"/>
      <c r="B115" s="30">
        <v>20288</v>
      </c>
      <c r="C115" s="30">
        <v>6643</v>
      </c>
      <c r="D115" s="30">
        <v>516</v>
      </c>
      <c r="E115" s="30">
        <v>355</v>
      </c>
      <c r="F115" s="30"/>
      <c r="G115" s="30"/>
      <c r="H115" s="30"/>
      <c r="I115" s="30">
        <v>337</v>
      </c>
      <c r="J115" s="30"/>
      <c r="K115" s="30"/>
      <c r="L115" s="30"/>
      <c r="M115" s="30"/>
      <c r="N115" s="33"/>
      <c r="O115" s="5"/>
    </row>
    <row r="116" spans="1: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5"/>
    </row>
    <row r="117" spans="1:15">
      <c r="A117" s="14" t="s">
        <v>53</v>
      </c>
      <c r="B117" s="12" t="s">
        <v>54</v>
      </c>
      <c r="C117" s="12" t="s">
        <v>2065</v>
      </c>
      <c r="D117" s="12" t="s">
        <v>2065</v>
      </c>
      <c r="E117" s="12"/>
      <c r="F117" s="12" t="s">
        <v>302</v>
      </c>
      <c r="G117" s="12"/>
      <c r="H117" s="12" t="s">
        <v>302</v>
      </c>
      <c r="I117" s="12" t="s">
        <v>2065</v>
      </c>
      <c r="J117" s="12"/>
      <c r="K117" s="12"/>
      <c r="L117" s="15"/>
      <c r="M117" s="13">
        <v>6574</v>
      </c>
      <c r="N117" s="12" t="s">
        <v>55</v>
      </c>
      <c r="O117" s="5"/>
    </row>
    <row r="118" spans="1:15">
      <c r="A118" s="13"/>
      <c r="B118" s="13">
        <v>16873</v>
      </c>
      <c r="C118" s="13">
        <v>3099</v>
      </c>
      <c r="D118" s="13">
        <v>262</v>
      </c>
      <c r="E118" s="13"/>
      <c r="F118" s="13">
        <v>608</v>
      </c>
      <c r="G118" s="13"/>
      <c r="H118" s="13">
        <v>457</v>
      </c>
      <c r="I118" s="13">
        <v>223</v>
      </c>
      <c r="J118" s="13"/>
      <c r="K118" s="13"/>
      <c r="L118" s="13"/>
      <c r="M118" s="13"/>
      <c r="N118" s="14"/>
      <c r="O118" s="5"/>
    </row>
    <row r="119" spans="1: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5"/>
    </row>
    <row r="120" spans="1:15">
      <c r="A120" s="33" t="s">
        <v>61</v>
      </c>
      <c r="B120" s="32" t="s">
        <v>1323</v>
      </c>
      <c r="C120" s="32" t="s">
        <v>2066</v>
      </c>
      <c r="D120" s="32" t="s">
        <v>1323</v>
      </c>
      <c r="E120" s="32" t="s">
        <v>2067</v>
      </c>
      <c r="F120" s="32"/>
      <c r="G120" s="32"/>
      <c r="H120" s="32"/>
      <c r="I120" s="32"/>
      <c r="J120" s="32"/>
      <c r="K120" s="32"/>
      <c r="L120" s="32"/>
      <c r="M120" s="30">
        <v>8018</v>
      </c>
      <c r="N120" s="32" t="s">
        <v>1324</v>
      </c>
      <c r="O120" s="5"/>
    </row>
    <row r="121" spans="1:15">
      <c r="A121" s="30"/>
      <c r="B121" s="30">
        <v>16612</v>
      </c>
      <c r="C121" s="30">
        <v>5917</v>
      </c>
      <c r="D121" s="30">
        <v>1535</v>
      </c>
      <c r="E121" s="30">
        <v>590</v>
      </c>
      <c r="F121" s="30"/>
      <c r="G121" s="30"/>
      <c r="H121" s="30"/>
      <c r="I121" s="30"/>
      <c r="J121" s="30"/>
      <c r="K121" s="30"/>
      <c r="L121" s="30"/>
      <c r="M121" s="30"/>
      <c r="N121" s="33"/>
      <c r="O121" s="5"/>
    </row>
    <row r="122" spans="1: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5"/>
    </row>
    <row r="123" spans="1:15">
      <c r="A123" s="14" t="s">
        <v>65</v>
      </c>
      <c r="B123" s="12" t="s">
        <v>1674</v>
      </c>
      <c r="C123" s="12" t="s">
        <v>2068</v>
      </c>
      <c r="D123" s="12" t="s">
        <v>2068</v>
      </c>
      <c r="E123" s="12" t="s">
        <v>2068</v>
      </c>
      <c r="F123" s="12" t="s">
        <v>2068</v>
      </c>
      <c r="G123" s="12"/>
      <c r="H123" s="12"/>
      <c r="I123" s="12"/>
      <c r="J123" s="12" t="s">
        <v>2068</v>
      </c>
      <c r="K123" s="12"/>
      <c r="L123" s="12"/>
      <c r="M123" s="13">
        <v>8114</v>
      </c>
      <c r="N123" s="12" t="s">
        <v>1676</v>
      </c>
      <c r="O123" s="5"/>
    </row>
    <row r="124" spans="1:15">
      <c r="A124" s="13"/>
      <c r="B124" s="13">
        <v>24640</v>
      </c>
      <c r="C124" s="13">
        <v>5289</v>
      </c>
      <c r="D124" s="13">
        <v>564</v>
      </c>
      <c r="E124" s="13">
        <v>415</v>
      </c>
      <c r="F124" s="13">
        <v>481</v>
      </c>
      <c r="G124" s="13"/>
      <c r="H124" s="13"/>
      <c r="I124" s="14"/>
      <c r="J124" s="14">
        <v>208</v>
      </c>
      <c r="K124" s="14"/>
      <c r="L124" s="14"/>
      <c r="M124" s="13"/>
      <c r="N124" s="14"/>
      <c r="O124" s="5"/>
    </row>
    <row r="125" spans="1: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5"/>
    </row>
    <row r="126" spans="1:15">
      <c r="A126" s="33" t="s">
        <v>71</v>
      </c>
      <c r="B126" s="32" t="s">
        <v>1214</v>
      </c>
      <c r="C126" s="32" t="s">
        <v>2069</v>
      </c>
      <c r="D126" s="32" t="s">
        <v>2069</v>
      </c>
      <c r="E126" s="32"/>
      <c r="F126" s="32" t="s">
        <v>2257</v>
      </c>
      <c r="G126" s="32"/>
      <c r="H126" s="32"/>
      <c r="I126" s="32"/>
      <c r="J126" s="32"/>
      <c r="K126" s="32"/>
      <c r="L126" s="32"/>
      <c r="M126" s="30">
        <v>7531</v>
      </c>
      <c r="N126" s="32" t="s">
        <v>1486</v>
      </c>
      <c r="O126" s="5"/>
    </row>
    <row r="127" spans="1:15">
      <c r="A127" s="30"/>
      <c r="B127" s="30">
        <v>20767</v>
      </c>
      <c r="C127" s="30">
        <v>459</v>
      </c>
      <c r="D127" s="30">
        <v>74</v>
      </c>
      <c r="E127" s="30"/>
      <c r="F127" s="30">
        <v>2032</v>
      </c>
      <c r="G127" s="30"/>
      <c r="H127" s="30"/>
      <c r="I127" s="30"/>
      <c r="J127" s="30"/>
      <c r="K127" s="30"/>
      <c r="L127" s="33"/>
      <c r="M127" s="30"/>
      <c r="N127" s="33"/>
      <c r="O127" s="5"/>
    </row>
    <row r="128" spans="1: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5"/>
    </row>
    <row r="129" spans="1:15">
      <c r="A129" s="14" t="s">
        <v>75</v>
      </c>
      <c r="B129" s="12" t="s">
        <v>76</v>
      </c>
      <c r="C129" s="12"/>
      <c r="D129" s="12" t="s">
        <v>1818</v>
      </c>
      <c r="E129" s="12"/>
      <c r="F129" s="12"/>
      <c r="G129" s="12"/>
      <c r="H129" s="12" t="s">
        <v>306</v>
      </c>
      <c r="I129" s="12"/>
      <c r="J129" s="12"/>
      <c r="K129" s="12"/>
      <c r="L129" s="12"/>
      <c r="M129" s="13">
        <v>12061</v>
      </c>
      <c r="N129" s="12" t="s">
        <v>77</v>
      </c>
      <c r="O129" s="5"/>
    </row>
    <row r="130" spans="1:15">
      <c r="A130" s="13"/>
      <c r="B130" s="13">
        <v>26503</v>
      </c>
      <c r="C130" s="13"/>
      <c r="D130" s="13">
        <v>815</v>
      </c>
      <c r="E130" s="13"/>
      <c r="F130" s="13"/>
      <c r="G130" s="13"/>
      <c r="H130" s="13">
        <v>457</v>
      </c>
      <c r="I130" s="13"/>
      <c r="J130" s="13"/>
      <c r="K130" s="13"/>
      <c r="L130" s="13"/>
      <c r="M130" s="13"/>
      <c r="N130" s="14"/>
      <c r="O130" s="5"/>
    </row>
    <row r="131" spans="1: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5"/>
    </row>
    <row r="132" spans="1:15">
      <c r="A132" s="33" t="s">
        <v>82</v>
      </c>
      <c r="B132" s="32" t="s">
        <v>961</v>
      </c>
      <c r="C132" s="32" t="s">
        <v>2070</v>
      </c>
      <c r="D132" s="32"/>
      <c r="E132" s="32" t="s">
        <v>2071</v>
      </c>
      <c r="F132" s="32"/>
      <c r="G132" s="32"/>
      <c r="H132" s="32"/>
      <c r="I132" s="32"/>
      <c r="J132" s="32"/>
      <c r="K132" s="32"/>
      <c r="L132" s="32"/>
      <c r="M132" s="30">
        <v>6676</v>
      </c>
      <c r="N132" s="32" t="s">
        <v>963</v>
      </c>
      <c r="O132" s="5"/>
    </row>
    <row r="133" spans="1:15">
      <c r="A133" s="30"/>
      <c r="B133" s="30">
        <v>17418</v>
      </c>
      <c r="C133" s="30">
        <v>617</v>
      </c>
      <c r="D133" s="30"/>
      <c r="E133" s="30">
        <v>3207</v>
      </c>
      <c r="F133" s="30"/>
      <c r="G133" s="30"/>
      <c r="H133" s="30"/>
      <c r="I133" s="33"/>
      <c r="J133" s="33"/>
      <c r="K133" s="33"/>
      <c r="L133" s="30"/>
      <c r="M133" s="30"/>
      <c r="N133" s="33"/>
      <c r="O133" s="5"/>
    </row>
    <row r="134" spans="1: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5"/>
    </row>
    <row r="135" spans="1:15">
      <c r="A135" s="14" t="s">
        <v>85</v>
      </c>
      <c r="B135" s="12" t="s">
        <v>1651</v>
      </c>
      <c r="C135" s="12" t="s">
        <v>2072</v>
      </c>
      <c r="D135" s="12" t="s">
        <v>2072</v>
      </c>
      <c r="E135" s="12"/>
      <c r="F135" s="12" t="s">
        <v>1799</v>
      </c>
      <c r="G135" s="12"/>
      <c r="H135" s="12"/>
      <c r="I135" s="12"/>
      <c r="J135" s="12"/>
      <c r="K135" s="12"/>
      <c r="L135" s="12"/>
      <c r="M135" s="13">
        <v>6253</v>
      </c>
      <c r="N135" s="12" t="s">
        <v>1652</v>
      </c>
      <c r="O135" s="5"/>
    </row>
    <row r="136" spans="1:15">
      <c r="A136" s="13"/>
      <c r="B136" s="13">
        <v>22440</v>
      </c>
      <c r="C136" s="13">
        <v>659</v>
      </c>
      <c r="D136" s="13">
        <v>136</v>
      </c>
      <c r="E136" s="13"/>
      <c r="F136" s="13">
        <v>756</v>
      </c>
      <c r="G136" s="13"/>
      <c r="H136" s="13"/>
      <c r="I136" s="13"/>
      <c r="J136" s="13"/>
      <c r="K136" s="13"/>
      <c r="L136" s="13"/>
      <c r="M136" s="13"/>
      <c r="N136" s="14"/>
      <c r="O136" s="5"/>
    </row>
    <row r="137" spans="1: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5"/>
    </row>
    <row r="138" spans="1:15">
      <c r="A138" s="33" t="s">
        <v>90</v>
      </c>
      <c r="B138" s="32" t="s">
        <v>807</v>
      </c>
      <c r="C138" s="32" t="s">
        <v>1016</v>
      </c>
      <c r="D138" s="32" t="s">
        <v>2073</v>
      </c>
      <c r="E138" s="32" t="s">
        <v>896</v>
      </c>
      <c r="F138" s="32" t="s">
        <v>809</v>
      </c>
      <c r="G138" s="32"/>
      <c r="H138" s="32"/>
      <c r="I138" s="32"/>
      <c r="J138" s="32"/>
      <c r="K138" s="32"/>
      <c r="L138" s="32" t="s">
        <v>2074</v>
      </c>
      <c r="M138" s="30">
        <v>8481</v>
      </c>
      <c r="N138" s="32" t="s">
        <v>810</v>
      </c>
      <c r="O138" s="5"/>
    </row>
    <row r="139" spans="1:15">
      <c r="A139" s="30"/>
      <c r="B139" s="30">
        <v>24547</v>
      </c>
      <c r="C139" s="30">
        <v>3623</v>
      </c>
      <c r="D139" s="30">
        <v>488</v>
      </c>
      <c r="E139" s="30">
        <v>870</v>
      </c>
      <c r="F139" s="30">
        <v>2444</v>
      </c>
      <c r="G139" s="30"/>
      <c r="H139" s="30"/>
      <c r="I139" s="33"/>
      <c r="J139" s="33"/>
      <c r="K139" s="33"/>
      <c r="L139" s="33">
        <v>208</v>
      </c>
      <c r="M139" s="30"/>
      <c r="N139" s="33"/>
      <c r="O139" s="5"/>
    </row>
    <row r="140" spans="1: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5"/>
    </row>
    <row r="141" spans="1:15">
      <c r="A141" s="14" t="s">
        <v>93</v>
      </c>
      <c r="B141" s="12" t="s">
        <v>188</v>
      </c>
      <c r="C141" s="12" t="s">
        <v>1089</v>
      </c>
      <c r="D141" s="12" t="s">
        <v>1089</v>
      </c>
      <c r="E141" s="12"/>
      <c r="F141" s="12"/>
      <c r="G141" s="12"/>
      <c r="H141" s="12"/>
      <c r="I141" s="12"/>
      <c r="J141" s="12"/>
      <c r="K141" s="12"/>
      <c r="L141" s="12"/>
      <c r="M141" s="13">
        <v>9485</v>
      </c>
      <c r="N141" s="12" t="s">
        <v>199</v>
      </c>
      <c r="O141" s="5"/>
    </row>
    <row r="142" spans="1:15">
      <c r="A142" s="13"/>
      <c r="B142" s="13">
        <v>18514</v>
      </c>
      <c r="C142" s="13">
        <v>4516</v>
      </c>
      <c r="D142" s="13">
        <v>708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4"/>
      <c r="O142" s="5"/>
    </row>
    <row r="143" spans="1: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5"/>
    </row>
    <row r="144" spans="1:15">
      <c r="A144" s="33" t="s">
        <v>97</v>
      </c>
      <c r="B144" s="32" t="s">
        <v>1458</v>
      </c>
      <c r="C144" s="32"/>
      <c r="D144" s="32" t="s">
        <v>1856</v>
      </c>
      <c r="E144" s="32"/>
      <c r="F144" s="32" t="s">
        <v>1458</v>
      </c>
      <c r="G144" s="32"/>
      <c r="H144" s="32"/>
      <c r="I144" s="32"/>
      <c r="J144" s="32"/>
      <c r="K144" s="32"/>
      <c r="L144" s="32"/>
      <c r="M144" s="30">
        <v>14473</v>
      </c>
      <c r="N144" s="32" t="s">
        <v>1658</v>
      </c>
      <c r="O144" s="5"/>
    </row>
    <row r="145" spans="1:15">
      <c r="A145" s="30"/>
      <c r="B145" s="30">
        <v>15265</v>
      </c>
      <c r="C145" s="30"/>
      <c r="D145" s="30">
        <v>1186</v>
      </c>
      <c r="E145" s="30"/>
      <c r="F145" s="30">
        <v>465</v>
      </c>
      <c r="G145" s="30"/>
      <c r="H145" s="30"/>
      <c r="I145" s="33"/>
      <c r="J145" s="33"/>
      <c r="K145" s="33"/>
      <c r="L145" s="33"/>
      <c r="M145" s="30"/>
      <c r="N145" s="33"/>
      <c r="O145" s="5"/>
    </row>
    <row r="146" spans="1: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5"/>
    </row>
    <row r="147" spans="1:15">
      <c r="A147" s="14" t="s">
        <v>101</v>
      </c>
      <c r="B147" s="12" t="s">
        <v>2075</v>
      </c>
      <c r="C147" s="12" t="s">
        <v>2076</v>
      </c>
      <c r="D147" s="12" t="s">
        <v>2077</v>
      </c>
      <c r="E147" s="12"/>
      <c r="F147" s="12" t="s">
        <v>200</v>
      </c>
      <c r="G147" s="12"/>
      <c r="H147" s="12" t="s">
        <v>200</v>
      </c>
      <c r="I147" s="12"/>
      <c r="J147" s="12"/>
      <c r="K147" s="12"/>
      <c r="L147" s="12"/>
      <c r="M147" s="13">
        <v>6515</v>
      </c>
      <c r="N147" s="12" t="s">
        <v>102</v>
      </c>
      <c r="O147" s="5"/>
    </row>
    <row r="148" spans="1:15">
      <c r="A148" s="13"/>
      <c r="B148" s="13">
        <v>14374</v>
      </c>
      <c r="C148" s="13">
        <v>4973</v>
      </c>
      <c r="D148" s="13">
        <v>1140</v>
      </c>
      <c r="E148" s="14"/>
      <c r="F148" s="14">
        <v>318</v>
      </c>
      <c r="G148" s="14"/>
      <c r="H148" s="14">
        <v>342</v>
      </c>
      <c r="I148" s="14"/>
      <c r="J148" s="14"/>
      <c r="K148" s="14"/>
      <c r="L148" s="14"/>
      <c r="M148" s="13"/>
      <c r="N148" s="14"/>
      <c r="O148" s="5"/>
    </row>
    <row r="149" spans="1: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5"/>
    </row>
    <row r="150" spans="1:15">
      <c r="A150" s="33" t="s">
        <v>106</v>
      </c>
      <c r="B150" s="32" t="s">
        <v>107</v>
      </c>
      <c r="C150" s="32" t="s">
        <v>107</v>
      </c>
      <c r="D150" s="32" t="s">
        <v>1858</v>
      </c>
      <c r="E150" s="32"/>
      <c r="F150" s="32"/>
      <c r="G150" s="32"/>
      <c r="H150" s="32"/>
      <c r="I150" s="32"/>
      <c r="J150" s="32"/>
      <c r="K150" s="32"/>
      <c r="L150" s="32"/>
      <c r="M150" s="30">
        <v>7766</v>
      </c>
      <c r="N150" s="32" t="s">
        <v>108</v>
      </c>
      <c r="O150" s="5"/>
    </row>
    <row r="151" spans="1:15">
      <c r="A151" s="30"/>
      <c r="B151" s="30">
        <v>10918</v>
      </c>
      <c r="C151" s="30">
        <v>7556</v>
      </c>
      <c r="D151" s="30">
        <v>1060</v>
      </c>
      <c r="E151" s="33"/>
      <c r="F151" s="33"/>
      <c r="G151" s="33"/>
      <c r="H151" s="33"/>
      <c r="I151" s="33"/>
      <c r="J151" s="33"/>
      <c r="K151" s="33"/>
      <c r="L151" s="33"/>
      <c r="M151" s="30"/>
      <c r="N151" s="33"/>
      <c r="O151" s="5"/>
    </row>
    <row r="152" spans="1: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5"/>
    </row>
    <row r="153" spans="1:15">
      <c r="A153" s="14" t="s">
        <v>112</v>
      </c>
      <c r="B153" s="12" t="s">
        <v>261</v>
      </c>
      <c r="C153" s="12" t="s">
        <v>2078</v>
      </c>
      <c r="D153" s="12" t="s">
        <v>2078</v>
      </c>
      <c r="E153" s="12" t="s">
        <v>1442</v>
      </c>
      <c r="F153" s="12" t="s">
        <v>2078</v>
      </c>
      <c r="G153" s="12"/>
      <c r="H153" s="12"/>
      <c r="I153" s="12" t="s">
        <v>2078</v>
      </c>
      <c r="J153" s="12"/>
      <c r="K153" s="12"/>
      <c r="L153" s="12"/>
      <c r="M153" s="13">
        <v>5808</v>
      </c>
      <c r="N153" s="12" t="s">
        <v>262</v>
      </c>
      <c r="O153" s="5"/>
    </row>
    <row r="154" spans="1:15">
      <c r="A154" s="13"/>
      <c r="B154" s="13">
        <v>14922</v>
      </c>
      <c r="C154" s="13">
        <v>4482</v>
      </c>
      <c r="D154" s="13">
        <v>444</v>
      </c>
      <c r="E154" s="14">
        <v>783</v>
      </c>
      <c r="F154" s="14">
        <v>143</v>
      </c>
      <c r="G154" s="14"/>
      <c r="H154" s="14"/>
      <c r="I154" s="14">
        <v>143</v>
      </c>
      <c r="J154" s="14"/>
      <c r="K154" s="14"/>
      <c r="L154" s="14"/>
      <c r="M154" s="13"/>
      <c r="N154" s="14"/>
      <c r="O154" s="5"/>
    </row>
    <row r="155" spans="1: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5"/>
    </row>
    <row r="156" spans="1:15">
      <c r="A156" s="33" t="s">
        <v>116</v>
      </c>
      <c r="B156" s="32" t="s">
        <v>117</v>
      </c>
      <c r="C156" s="32" t="s">
        <v>2079</v>
      </c>
      <c r="D156" s="32" t="s">
        <v>2079</v>
      </c>
      <c r="E156" s="32"/>
      <c r="F156" s="32"/>
      <c r="G156" s="32"/>
      <c r="H156" s="32"/>
      <c r="I156" s="32"/>
      <c r="J156" s="32" t="s">
        <v>2258</v>
      </c>
      <c r="K156" s="32"/>
      <c r="L156" s="32"/>
      <c r="M156" s="30">
        <v>12242</v>
      </c>
      <c r="N156" s="32" t="s">
        <v>118</v>
      </c>
      <c r="O156" s="5"/>
    </row>
    <row r="157" spans="1:15">
      <c r="A157" s="30"/>
      <c r="B157" s="30">
        <v>13456</v>
      </c>
      <c r="C157" s="30">
        <v>1757</v>
      </c>
      <c r="D157" s="30">
        <v>150</v>
      </c>
      <c r="E157" s="30"/>
      <c r="F157" s="30"/>
      <c r="G157" s="30"/>
      <c r="H157" s="30"/>
      <c r="I157" s="30"/>
      <c r="J157" s="30">
        <v>1221</v>
      </c>
      <c r="K157" s="30"/>
      <c r="L157" s="30"/>
      <c r="M157" s="30"/>
      <c r="N157" s="33"/>
      <c r="O157" s="5"/>
    </row>
    <row r="158" spans="1: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5"/>
    </row>
    <row r="159" spans="1:15">
      <c r="A159" s="14" t="s">
        <v>120</v>
      </c>
      <c r="B159" s="12" t="s">
        <v>121</v>
      </c>
      <c r="C159" s="12" t="s">
        <v>2080</v>
      </c>
      <c r="D159" s="12" t="s">
        <v>2080</v>
      </c>
      <c r="E159" s="12" t="s">
        <v>1134</v>
      </c>
      <c r="F159" s="12" t="s">
        <v>1134</v>
      </c>
      <c r="G159" s="12"/>
      <c r="H159" s="12" t="s">
        <v>1134</v>
      </c>
      <c r="I159" s="12"/>
      <c r="J159" s="12"/>
      <c r="K159" s="12"/>
      <c r="L159" s="15"/>
      <c r="M159" s="13">
        <v>6753</v>
      </c>
      <c r="N159" s="12" t="s">
        <v>122</v>
      </c>
      <c r="O159" s="5"/>
    </row>
    <row r="160" spans="1:15">
      <c r="A160" s="13"/>
      <c r="B160" s="13">
        <v>16761</v>
      </c>
      <c r="C160" s="13">
        <v>1673</v>
      </c>
      <c r="D160" s="13">
        <v>193</v>
      </c>
      <c r="E160" s="13">
        <v>227</v>
      </c>
      <c r="F160" s="13">
        <v>1316</v>
      </c>
      <c r="G160" s="13"/>
      <c r="H160" s="13">
        <v>379</v>
      </c>
      <c r="I160" s="13"/>
      <c r="J160" s="13"/>
      <c r="K160" s="13"/>
      <c r="L160" s="13"/>
      <c r="M160" s="13"/>
      <c r="N160" s="14"/>
      <c r="O160" s="5"/>
    </row>
    <row r="161" spans="1: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5"/>
    </row>
    <row r="162" spans="1:15">
      <c r="A162" s="33" t="s">
        <v>134</v>
      </c>
      <c r="B162" s="32" t="s">
        <v>972</v>
      </c>
      <c r="C162" s="32" t="s">
        <v>2081</v>
      </c>
      <c r="D162" s="32" t="s">
        <v>2081</v>
      </c>
      <c r="E162" s="32" t="s">
        <v>1402</v>
      </c>
      <c r="F162" s="32"/>
      <c r="G162" s="32"/>
      <c r="H162" s="32" t="s">
        <v>972</v>
      </c>
      <c r="I162" s="32"/>
      <c r="J162" s="32"/>
      <c r="K162" s="32"/>
      <c r="L162" s="32"/>
      <c r="M162" s="30">
        <v>9902</v>
      </c>
      <c r="N162" s="32" t="s">
        <v>974</v>
      </c>
      <c r="O162" s="5"/>
    </row>
    <row r="163" spans="1:15">
      <c r="A163" s="30"/>
      <c r="B163" s="30">
        <v>27347</v>
      </c>
      <c r="C163" s="30">
        <v>7473</v>
      </c>
      <c r="D163" s="30">
        <v>947</v>
      </c>
      <c r="E163" s="30">
        <v>379</v>
      </c>
      <c r="F163" s="30"/>
      <c r="G163" s="30"/>
      <c r="H163" s="30">
        <v>1188</v>
      </c>
      <c r="I163" s="30"/>
      <c r="J163" s="30"/>
      <c r="K163" s="30"/>
      <c r="L163" s="30"/>
      <c r="M163" s="30"/>
      <c r="N163" s="33"/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>
      <c r="A165" s="14" t="s">
        <v>139</v>
      </c>
      <c r="B165" s="12" t="s">
        <v>975</v>
      </c>
      <c r="C165" s="12"/>
      <c r="D165" s="12" t="s">
        <v>2082</v>
      </c>
      <c r="E165" s="12"/>
      <c r="F165" s="12"/>
      <c r="G165" s="12"/>
      <c r="H165" s="12" t="s">
        <v>270</v>
      </c>
      <c r="I165" s="12"/>
      <c r="J165" s="12"/>
      <c r="K165" s="12"/>
      <c r="L165" s="12"/>
      <c r="M165" s="13">
        <v>9334</v>
      </c>
      <c r="N165" s="12" t="s">
        <v>977</v>
      </c>
      <c r="O165" s="5"/>
    </row>
    <row r="166" spans="1:15">
      <c r="A166" s="13" t="s">
        <v>978</v>
      </c>
      <c r="B166" s="13">
        <v>15650</v>
      </c>
      <c r="C166" s="13"/>
      <c r="D166" s="13">
        <v>241</v>
      </c>
      <c r="E166" s="13"/>
      <c r="F166" s="13"/>
      <c r="G166" s="13"/>
      <c r="H166" s="13">
        <v>545</v>
      </c>
      <c r="I166" s="14"/>
      <c r="J166" s="14"/>
      <c r="K166" s="14"/>
      <c r="L166" s="14"/>
      <c r="M166" s="13"/>
      <c r="N166" s="14"/>
      <c r="O166" s="5"/>
    </row>
    <row r="167" spans="1: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5"/>
    </row>
    <row r="168" spans="1:15">
      <c r="A168" s="33" t="s">
        <v>142</v>
      </c>
      <c r="B168" s="32" t="s">
        <v>1137</v>
      </c>
      <c r="C168" s="32" t="s">
        <v>2083</v>
      </c>
      <c r="D168" s="32" t="s">
        <v>809</v>
      </c>
      <c r="E168" s="32" t="s">
        <v>1138</v>
      </c>
      <c r="F168" s="32" t="s">
        <v>1138</v>
      </c>
      <c r="G168" s="32"/>
      <c r="H168" s="32" t="s">
        <v>1138</v>
      </c>
      <c r="I168" s="32"/>
      <c r="J168" s="32"/>
      <c r="K168" s="32"/>
      <c r="L168" s="32"/>
      <c r="M168" s="30">
        <v>7501</v>
      </c>
      <c r="N168" s="32" t="s">
        <v>1139</v>
      </c>
      <c r="O168" s="5"/>
    </row>
    <row r="169" spans="1:15">
      <c r="A169" s="30"/>
      <c r="B169" s="30">
        <v>14644</v>
      </c>
      <c r="C169" s="30">
        <v>855</v>
      </c>
      <c r="D169" s="30">
        <v>109</v>
      </c>
      <c r="E169" s="30">
        <v>185</v>
      </c>
      <c r="F169" s="30">
        <v>546</v>
      </c>
      <c r="G169" s="30"/>
      <c r="H169" s="30">
        <v>172</v>
      </c>
      <c r="I169" s="33"/>
      <c r="J169" s="33"/>
      <c r="K169" s="33"/>
      <c r="L169" s="33"/>
      <c r="M169" s="30"/>
      <c r="N169" s="33"/>
      <c r="O169" s="5"/>
    </row>
    <row r="170" spans="1: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5"/>
    </row>
    <row r="171" spans="1:15">
      <c r="A171" s="14" t="s">
        <v>145</v>
      </c>
      <c r="B171" s="12" t="s">
        <v>1861</v>
      </c>
      <c r="C171" s="12" t="s">
        <v>983</v>
      </c>
      <c r="D171" s="12"/>
      <c r="E171" s="12" t="s">
        <v>2084</v>
      </c>
      <c r="F171" s="12"/>
      <c r="G171" s="12"/>
      <c r="H171" s="12" t="s">
        <v>1863</v>
      </c>
      <c r="I171" s="12"/>
      <c r="J171" s="12"/>
      <c r="K171" s="12"/>
      <c r="L171" s="12"/>
      <c r="M171" s="13">
        <v>7329</v>
      </c>
      <c r="N171" s="12" t="s">
        <v>2085</v>
      </c>
      <c r="O171" s="5"/>
    </row>
    <row r="172" spans="1:15">
      <c r="A172" s="13"/>
      <c r="B172" s="13">
        <v>21844</v>
      </c>
      <c r="C172" s="13">
        <v>335</v>
      </c>
      <c r="D172" s="13"/>
      <c r="E172" s="13">
        <v>188</v>
      </c>
      <c r="F172" s="13"/>
      <c r="G172" s="13"/>
      <c r="H172" s="13">
        <v>230</v>
      </c>
      <c r="I172" s="14"/>
      <c r="J172" s="14"/>
      <c r="K172" s="14"/>
      <c r="L172" s="14"/>
      <c r="M172" s="13"/>
      <c r="N172" s="14"/>
      <c r="O172" s="5"/>
    </row>
    <row r="173" spans="1: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5"/>
    </row>
    <row r="174" spans="1:15">
      <c r="A174" s="33" t="s">
        <v>150</v>
      </c>
      <c r="B174" s="32" t="s">
        <v>2086</v>
      </c>
      <c r="C174" s="32" t="s">
        <v>2087</v>
      </c>
      <c r="D174" s="32"/>
      <c r="E174" s="32" t="s">
        <v>2088</v>
      </c>
      <c r="F174" s="32"/>
      <c r="G174" s="32"/>
      <c r="H174" s="32" t="s">
        <v>668</v>
      </c>
      <c r="I174" s="32"/>
      <c r="J174" s="32"/>
      <c r="K174" s="32"/>
      <c r="L174" s="32"/>
      <c r="M174" s="30">
        <v>8292</v>
      </c>
      <c r="N174" s="32" t="s">
        <v>2089</v>
      </c>
      <c r="O174" s="5"/>
    </row>
    <row r="175" spans="1:15">
      <c r="A175" s="30"/>
      <c r="B175" s="30">
        <v>23415</v>
      </c>
      <c r="C175" s="30">
        <v>487</v>
      </c>
      <c r="D175" s="30"/>
      <c r="E175" s="30">
        <v>163</v>
      </c>
      <c r="F175" s="30"/>
      <c r="G175" s="30"/>
      <c r="H175" s="30">
        <v>306</v>
      </c>
      <c r="I175" s="30"/>
      <c r="J175" s="30"/>
      <c r="K175" s="30"/>
      <c r="L175" s="30"/>
      <c r="M175" s="30"/>
      <c r="N175" s="33"/>
      <c r="O175" s="5"/>
    </row>
    <row r="176" spans="1:1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5"/>
    </row>
    <row r="177" spans="1:15" ht="17.25">
      <c r="A177" s="30" t="s">
        <v>2249</v>
      </c>
      <c r="B177" s="29" t="s">
        <v>825</v>
      </c>
      <c r="C177" s="29" t="s">
        <v>2087</v>
      </c>
      <c r="D177" s="29" t="s">
        <v>2087</v>
      </c>
      <c r="E177" s="29" t="s">
        <v>825</v>
      </c>
      <c r="F177" s="29"/>
      <c r="G177" s="29"/>
      <c r="H177" s="29" t="s">
        <v>668</v>
      </c>
      <c r="I177" s="30"/>
      <c r="J177" s="30"/>
      <c r="K177" s="29" t="s">
        <v>2259</v>
      </c>
      <c r="L177" s="29"/>
      <c r="M177" s="30">
        <v>65</v>
      </c>
      <c r="N177" s="29" t="s">
        <v>827</v>
      </c>
      <c r="O177" s="5"/>
    </row>
    <row r="178" spans="1:15">
      <c r="A178" s="30"/>
      <c r="B178" s="30">
        <v>1975</v>
      </c>
      <c r="C178" s="30">
        <v>195</v>
      </c>
      <c r="D178" s="30">
        <v>51</v>
      </c>
      <c r="E178" s="30">
        <v>202</v>
      </c>
      <c r="F178" s="30"/>
      <c r="G178" s="30"/>
      <c r="H178" s="30">
        <v>111</v>
      </c>
      <c r="I178" s="30"/>
      <c r="J178" s="30"/>
      <c r="K178" s="30">
        <v>11</v>
      </c>
      <c r="L178" s="30"/>
      <c r="M178" s="30"/>
      <c r="N178" s="30"/>
      <c r="O178" s="5"/>
    </row>
    <row r="179" spans="1: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5"/>
    </row>
    <row r="180" spans="1:15">
      <c r="A180" s="14" t="s">
        <v>154</v>
      </c>
      <c r="B180" s="12" t="s">
        <v>1670</v>
      </c>
      <c r="C180" s="12" t="s">
        <v>2090</v>
      </c>
      <c r="D180" s="12" t="s">
        <v>1141</v>
      </c>
      <c r="E180" s="12"/>
      <c r="F180" s="12"/>
      <c r="G180" s="12"/>
      <c r="H180" s="12" t="s">
        <v>1141</v>
      </c>
      <c r="I180" s="12"/>
      <c r="J180" s="12"/>
      <c r="K180" s="12"/>
      <c r="L180" s="12"/>
      <c r="M180" s="13">
        <v>7208</v>
      </c>
      <c r="N180" s="12" t="s">
        <v>1672</v>
      </c>
      <c r="O180" s="5"/>
    </row>
    <row r="181" spans="1:15">
      <c r="A181" s="13"/>
      <c r="B181" s="13">
        <v>26006</v>
      </c>
      <c r="C181" s="13">
        <v>832</v>
      </c>
      <c r="D181" s="13">
        <v>1466</v>
      </c>
      <c r="E181" s="13"/>
      <c r="F181" s="13"/>
      <c r="G181" s="13"/>
      <c r="H181" s="13">
        <v>788</v>
      </c>
      <c r="I181" s="13"/>
      <c r="J181" s="13"/>
      <c r="K181" s="13"/>
      <c r="L181" s="13"/>
      <c r="M181" s="13"/>
      <c r="N181" s="13"/>
      <c r="O181" s="5"/>
    </row>
    <row r="182" spans="1: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5"/>
    </row>
    <row r="183" spans="1:15">
      <c r="A183" s="33" t="s">
        <v>158</v>
      </c>
      <c r="B183" s="32" t="s">
        <v>159</v>
      </c>
      <c r="C183" s="32"/>
      <c r="D183" s="32" t="s">
        <v>2091</v>
      </c>
      <c r="E183" s="32"/>
      <c r="F183" s="32" t="s">
        <v>504</v>
      </c>
      <c r="G183" s="32"/>
      <c r="H183" s="32" t="s">
        <v>504</v>
      </c>
      <c r="I183" s="32"/>
      <c r="J183" s="32"/>
      <c r="K183" s="32"/>
      <c r="L183" s="32"/>
      <c r="M183" s="30">
        <v>12314</v>
      </c>
      <c r="N183" s="32" t="s">
        <v>160</v>
      </c>
      <c r="O183" s="5"/>
    </row>
    <row r="184" spans="1:15">
      <c r="A184" s="30"/>
      <c r="B184" s="30">
        <v>19320</v>
      </c>
      <c r="C184" s="30"/>
      <c r="D184" s="30">
        <v>132</v>
      </c>
      <c r="E184" s="30"/>
      <c r="F184" s="30">
        <v>614</v>
      </c>
      <c r="G184" s="30"/>
      <c r="H184" s="30">
        <v>258</v>
      </c>
      <c r="I184" s="30"/>
      <c r="J184" s="30"/>
      <c r="K184" s="30"/>
      <c r="L184" s="30"/>
      <c r="M184" s="30"/>
      <c r="N184" s="33"/>
      <c r="O184" s="5"/>
    </row>
    <row r="185" spans="1: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5"/>
    </row>
    <row r="186" spans="1:15">
      <c r="A186" s="14" t="s">
        <v>166</v>
      </c>
      <c r="B186" s="12" t="s">
        <v>1867</v>
      </c>
      <c r="C186" s="12" t="s">
        <v>2092</v>
      </c>
      <c r="D186" s="12" t="s">
        <v>2092</v>
      </c>
      <c r="E186" s="12" t="s">
        <v>1867</v>
      </c>
      <c r="F186" s="12" t="s">
        <v>2261</v>
      </c>
      <c r="G186" s="12"/>
      <c r="H186" s="12" t="s">
        <v>2093</v>
      </c>
      <c r="I186" s="12" t="s">
        <v>2092</v>
      </c>
      <c r="J186" s="12" t="s">
        <v>2260</v>
      </c>
      <c r="K186" s="12"/>
      <c r="L186" s="12"/>
      <c r="M186" s="13">
        <v>7291</v>
      </c>
      <c r="N186" s="12" t="s">
        <v>1869</v>
      </c>
      <c r="O186" s="5"/>
    </row>
    <row r="187" spans="1:15">
      <c r="A187" s="13"/>
      <c r="B187" s="13">
        <v>19202</v>
      </c>
      <c r="C187" s="13">
        <v>13362</v>
      </c>
      <c r="D187" s="13">
        <v>1486</v>
      </c>
      <c r="E187" s="13">
        <v>465</v>
      </c>
      <c r="F187" s="13">
        <v>739</v>
      </c>
      <c r="G187" s="13"/>
      <c r="H187" s="13">
        <v>287</v>
      </c>
      <c r="I187" s="13">
        <v>765</v>
      </c>
      <c r="J187" s="13">
        <v>475</v>
      </c>
      <c r="K187" s="13"/>
      <c r="L187" s="13"/>
      <c r="M187" s="13"/>
      <c r="N187" s="14"/>
      <c r="O187" s="5"/>
    </row>
    <row r="188" spans="1: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5"/>
    </row>
    <row r="189" spans="1:15">
      <c r="A189" s="33" t="s">
        <v>170</v>
      </c>
      <c r="B189" s="32" t="s">
        <v>2094</v>
      </c>
      <c r="C189" s="32" t="s">
        <v>1872</v>
      </c>
      <c r="D189" s="32" t="s">
        <v>2095</v>
      </c>
      <c r="E189" s="32" t="s">
        <v>2096</v>
      </c>
      <c r="F189" s="32" t="s">
        <v>2095</v>
      </c>
      <c r="G189" s="32"/>
      <c r="H189" s="32"/>
      <c r="I189" s="32"/>
      <c r="J189" s="32" t="s">
        <v>2096</v>
      </c>
      <c r="K189" s="32"/>
      <c r="L189" s="32"/>
      <c r="M189" s="30">
        <v>7239</v>
      </c>
      <c r="N189" s="29" t="s">
        <v>2097</v>
      </c>
      <c r="O189" s="5"/>
    </row>
    <row r="190" spans="1:15">
      <c r="A190" s="30"/>
      <c r="B190" s="30">
        <v>24599</v>
      </c>
      <c r="C190" s="30">
        <v>11183</v>
      </c>
      <c r="D190" s="30">
        <v>2419</v>
      </c>
      <c r="E190" s="30">
        <v>228</v>
      </c>
      <c r="F190" s="30">
        <v>816</v>
      </c>
      <c r="G190" s="30"/>
      <c r="H190" s="30"/>
      <c r="I190" s="30"/>
      <c r="J190" s="30">
        <v>270</v>
      </c>
      <c r="K190" s="30"/>
      <c r="L190" s="30"/>
      <c r="M190" s="30"/>
      <c r="N190" s="30"/>
      <c r="O190" s="5"/>
    </row>
    <row r="191" spans="1:1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5"/>
    </row>
    <row r="192" spans="1:15" ht="17.25">
      <c r="A192" s="31" t="s">
        <v>2250</v>
      </c>
      <c r="B192" s="36" t="s">
        <v>462</v>
      </c>
      <c r="C192" s="36" t="s">
        <v>1678</v>
      </c>
      <c r="D192" s="36" t="s">
        <v>1678</v>
      </c>
      <c r="E192" s="31"/>
      <c r="F192" s="36" t="s">
        <v>462</v>
      </c>
      <c r="G192" s="36"/>
      <c r="H192" s="31"/>
      <c r="I192" s="36" t="s">
        <v>1678</v>
      </c>
      <c r="J192" s="36"/>
      <c r="K192" s="36"/>
      <c r="L192" s="36"/>
      <c r="M192" s="31">
        <v>101</v>
      </c>
      <c r="N192" s="36" t="s">
        <v>1679</v>
      </c>
      <c r="O192" s="5"/>
    </row>
    <row r="193" spans="1:15">
      <c r="A193" s="31"/>
      <c r="B193" s="31">
        <v>3141</v>
      </c>
      <c r="C193" s="31">
        <v>3215</v>
      </c>
      <c r="D193" s="31">
        <v>426</v>
      </c>
      <c r="E193" s="31"/>
      <c r="F193" s="31">
        <v>268</v>
      </c>
      <c r="G193" s="31"/>
      <c r="H193" s="31"/>
      <c r="I193" s="31">
        <v>286</v>
      </c>
      <c r="J193" s="31"/>
      <c r="K193" s="31"/>
      <c r="L193" s="31"/>
      <c r="M193" s="31"/>
      <c r="N193" s="31"/>
      <c r="O193" s="5"/>
    </row>
    <row r="194" spans="1: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>
      <c r="A195" s="14" t="s">
        <v>5</v>
      </c>
      <c r="B195" s="12" t="s">
        <v>2098</v>
      </c>
      <c r="C195" s="12" t="s">
        <v>1870</v>
      </c>
      <c r="D195" s="12" t="s">
        <v>1870</v>
      </c>
      <c r="E195" s="12" t="s">
        <v>1683</v>
      </c>
      <c r="F195" s="12" t="s">
        <v>1683</v>
      </c>
      <c r="G195" s="12"/>
      <c r="H195" s="12"/>
      <c r="I195" s="12" t="s">
        <v>1683</v>
      </c>
      <c r="J195" s="12"/>
      <c r="K195" s="12"/>
      <c r="L195" s="12"/>
      <c r="M195" s="13">
        <v>9317</v>
      </c>
      <c r="N195" s="12" t="s">
        <v>1871</v>
      </c>
      <c r="O195" s="5"/>
    </row>
    <row r="196" spans="1:15">
      <c r="A196" s="13"/>
      <c r="B196" s="13">
        <v>12086</v>
      </c>
      <c r="C196" s="13">
        <v>27385</v>
      </c>
      <c r="D196" s="13">
        <v>2570</v>
      </c>
      <c r="E196" s="13">
        <v>739</v>
      </c>
      <c r="F196" s="13">
        <v>509</v>
      </c>
      <c r="G196" s="13"/>
      <c r="H196" s="13"/>
      <c r="I196" s="13">
        <v>995</v>
      </c>
      <c r="J196" s="13"/>
      <c r="K196" s="13"/>
      <c r="L196" s="13"/>
      <c r="M196" s="13"/>
      <c r="N196" s="14"/>
      <c r="O196" s="5"/>
    </row>
    <row r="197" spans="1: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5"/>
    </row>
    <row r="198" spans="1:15">
      <c r="A198" s="33" t="s">
        <v>8</v>
      </c>
      <c r="B198" s="32" t="s">
        <v>2099</v>
      </c>
      <c r="C198" s="32"/>
      <c r="D198" s="32"/>
      <c r="E198" s="32"/>
      <c r="F198" s="32"/>
      <c r="G198" s="32"/>
      <c r="H198" s="32" t="s">
        <v>834</v>
      </c>
      <c r="I198" s="32"/>
      <c r="J198" s="32" t="s">
        <v>2262</v>
      </c>
      <c r="K198" s="32"/>
      <c r="L198" s="32"/>
      <c r="M198" s="30">
        <v>11548</v>
      </c>
      <c r="N198" s="32" t="s">
        <v>836</v>
      </c>
      <c r="O198" s="5"/>
    </row>
    <row r="199" spans="1:15">
      <c r="A199" s="30"/>
      <c r="B199" s="30">
        <v>19535</v>
      </c>
      <c r="C199" s="30"/>
      <c r="D199" s="30"/>
      <c r="E199" s="30"/>
      <c r="F199" s="30"/>
      <c r="G199" s="30"/>
      <c r="H199" s="30">
        <v>549</v>
      </c>
      <c r="I199" s="33"/>
      <c r="J199" s="33">
        <v>3485</v>
      </c>
      <c r="K199" s="33"/>
      <c r="L199" s="33"/>
      <c r="M199" s="30"/>
      <c r="N199" s="33"/>
      <c r="O199" s="5"/>
    </row>
    <row r="200" spans="1: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5"/>
    </row>
    <row r="201" spans="1:15">
      <c r="A201" s="14" t="s">
        <v>14</v>
      </c>
      <c r="B201" s="12" t="s">
        <v>2100</v>
      </c>
      <c r="C201" s="12" t="s">
        <v>524</v>
      </c>
      <c r="D201" s="12"/>
      <c r="E201" s="12"/>
      <c r="F201" s="12" t="s">
        <v>1694</v>
      </c>
      <c r="G201" s="12"/>
      <c r="H201" s="12" t="s">
        <v>1694</v>
      </c>
      <c r="I201" s="12"/>
      <c r="J201" s="12"/>
      <c r="K201" s="12"/>
      <c r="L201" s="12"/>
      <c r="M201" s="13">
        <v>11083</v>
      </c>
      <c r="N201" s="12" t="s">
        <v>1696</v>
      </c>
      <c r="O201" s="5"/>
    </row>
    <row r="202" spans="1:15">
      <c r="A202" s="13"/>
      <c r="B202" s="13">
        <v>32003</v>
      </c>
      <c r="C202" s="13">
        <v>6336</v>
      </c>
      <c r="D202" s="13"/>
      <c r="E202" s="13"/>
      <c r="F202" s="13">
        <v>1765</v>
      </c>
      <c r="G202" s="13"/>
      <c r="H202" s="13">
        <v>1037</v>
      </c>
      <c r="I202" s="13"/>
      <c r="J202" s="13"/>
      <c r="K202" s="13"/>
      <c r="L202" s="13"/>
      <c r="M202" s="13"/>
      <c r="N202" s="14"/>
      <c r="O202" s="5"/>
    </row>
    <row r="203" spans="1: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5"/>
    </row>
    <row r="204" spans="1:15">
      <c r="A204" s="33" t="s">
        <v>23</v>
      </c>
      <c r="B204" s="32" t="s">
        <v>2101</v>
      </c>
      <c r="C204" s="32"/>
      <c r="D204" s="32"/>
      <c r="E204" s="32"/>
      <c r="F204" s="32" t="s">
        <v>201</v>
      </c>
      <c r="G204" s="32"/>
      <c r="H204" s="32" t="s">
        <v>201</v>
      </c>
      <c r="I204" s="32"/>
      <c r="J204" s="32"/>
      <c r="K204" s="32"/>
      <c r="L204" s="32"/>
      <c r="M204" s="30">
        <v>18144</v>
      </c>
      <c r="N204" s="32" t="s">
        <v>24</v>
      </c>
      <c r="O204" s="5"/>
    </row>
    <row r="205" spans="1:15">
      <c r="A205" s="30"/>
      <c r="B205" s="30">
        <v>33830</v>
      </c>
      <c r="C205" s="30"/>
      <c r="D205" s="30"/>
      <c r="E205" s="30"/>
      <c r="F205" s="30">
        <v>1660</v>
      </c>
      <c r="G205" s="30"/>
      <c r="H205" s="30">
        <v>1157</v>
      </c>
      <c r="I205" s="33"/>
      <c r="J205" s="33"/>
      <c r="K205" s="33"/>
      <c r="L205" s="33"/>
      <c r="M205" s="30"/>
      <c r="N205" s="33"/>
      <c r="O205" s="5"/>
    </row>
    <row r="206" spans="1: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5"/>
    </row>
    <row r="207" spans="1:15">
      <c r="A207" s="14" t="s">
        <v>29</v>
      </c>
      <c r="B207" s="12" t="s">
        <v>1511</v>
      </c>
      <c r="C207" s="12" t="s">
        <v>2102</v>
      </c>
      <c r="D207" s="12"/>
      <c r="E207" s="12" t="s">
        <v>2103</v>
      </c>
      <c r="F207" s="12" t="s">
        <v>1606</v>
      </c>
      <c r="G207" s="12"/>
      <c r="H207" s="12"/>
      <c r="I207" s="12"/>
      <c r="J207" s="12"/>
      <c r="K207" s="12"/>
      <c r="L207" s="12"/>
      <c r="M207" s="13">
        <v>10575</v>
      </c>
      <c r="N207" s="12" t="s">
        <v>1513</v>
      </c>
      <c r="O207" s="5"/>
    </row>
    <row r="208" spans="1:15">
      <c r="A208" s="13"/>
      <c r="B208" s="13">
        <v>33424</v>
      </c>
      <c r="C208" s="13">
        <v>11357</v>
      </c>
      <c r="D208" s="13"/>
      <c r="E208" s="13">
        <v>580</v>
      </c>
      <c r="F208" s="13">
        <v>806</v>
      </c>
      <c r="G208" s="13"/>
      <c r="H208" s="13"/>
      <c r="I208" s="13"/>
      <c r="J208" s="13"/>
      <c r="K208" s="13"/>
      <c r="L208" s="13"/>
      <c r="M208" s="13"/>
      <c r="N208" s="14"/>
      <c r="O208" s="5"/>
    </row>
    <row r="209" spans="1: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5"/>
    </row>
    <row r="210" spans="1:15">
      <c r="A210" s="33" t="s">
        <v>36</v>
      </c>
      <c r="B210" s="32" t="s">
        <v>37</v>
      </c>
      <c r="C210" s="32" t="s">
        <v>2104</v>
      </c>
      <c r="D210" s="32"/>
      <c r="E210" s="32" t="s">
        <v>1684</v>
      </c>
      <c r="F210" s="32" t="s">
        <v>511</v>
      </c>
      <c r="G210" s="32"/>
      <c r="H210" s="32" t="s">
        <v>2104</v>
      </c>
      <c r="I210" s="32"/>
      <c r="J210" s="32"/>
      <c r="K210" s="32"/>
      <c r="L210" s="32"/>
      <c r="M210" s="30">
        <v>9426</v>
      </c>
      <c r="N210" s="32" t="s">
        <v>38</v>
      </c>
      <c r="O210" s="5"/>
    </row>
    <row r="211" spans="1:15">
      <c r="A211" s="30"/>
      <c r="B211" s="30">
        <v>40969</v>
      </c>
      <c r="C211" s="30">
        <v>6412</v>
      </c>
      <c r="D211" s="30"/>
      <c r="E211" s="30">
        <v>709</v>
      </c>
      <c r="F211" s="30">
        <v>3094</v>
      </c>
      <c r="G211" s="30"/>
      <c r="H211" s="30">
        <v>1074</v>
      </c>
      <c r="I211" s="33"/>
      <c r="J211" s="33"/>
      <c r="K211" s="33"/>
      <c r="L211" s="33"/>
      <c r="M211" s="30"/>
      <c r="N211" s="30"/>
      <c r="O211" s="5"/>
    </row>
    <row r="212" spans="1: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5"/>
    </row>
    <row r="213" spans="1:15">
      <c r="A213" s="14" t="s">
        <v>46</v>
      </c>
      <c r="B213" s="12" t="s">
        <v>1686</v>
      </c>
      <c r="C213" s="12" t="s">
        <v>2105</v>
      </c>
      <c r="D213" s="12"/>
      <c r="E213" s="12" t="s">
        <v>2105</v>
      </c>
      <c r="F213" s="12" t="s">
        <v>1802</v>
      </c>
      <c r="G213" s="12"/>
      <c r="H213" s="12" t="s">
        <v>1802</v>
      </c>
      <c r="I213" s="12"/>
      <c r="J213" s="12"/>
      <c r="K213" s="12"/>
      <c r="L213" s="12"/>
      <c r="M213" s="13">
        <v>10805</v>
      </c>
      <c r="N213" s="12" t="s">
        <v>1688</v>
      </c>
      <c r="O213" s="5"/>
    </row>
    <row r="214" spans="1:15">
      <c r="A214" s="13"/>
      <c r="B214" s="13">
        <v>41571</v>
      </c>
      <c r="C214" s="13">
        <v>7939</v>
      </c>
      <c r="D214" s="13"/>
      <c r="E214" s="13">
        <v>358</v>
      </c>
      <c r="F214" s="13">
        <v>1854</v>
      </c>
      <c r="G214" s="13"/>
      <c r="H214" s="13">
        <v>1040</v>
      </c>
      <c r="I214" s="14"/>
      <c r="J214" s="14"/>
      <c r="K214" s="14"/>
      <c r="L214" s="14"/>
      <c r="M214" s="13"/>
      <c r="N214" s="14"/>
      <c r="O214" s="5"/>
    </row>
    <row r="215" spans="1: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5"/>
    </row>
    <row r="216" spans="1:15">
      <c r="A216" s="33" t="s">
        <v>51</v>
      </c>
      <c r="B216" s="29" t="s">
        <v>1516</v>
      </c>
      <c r="C216" s="29" t="s">
        <v>2106</v>
      </c>
      <c r="D216" s="29"/>
      <c r="E216" s="29"/>
      <c r="F216" s="29"/>
      <c r="G216" s="29"/>
      <c r="H216" s="29" t="s">
        <v>1516</v>
      </c>
      <c r="I216" s="29"/>
      <c r="J216" s="29"/>
      <c r="K216" s="29"/>
      <c r="L216" s="29"/>
      <c r="M216" s="30">
        <v>8168</v>
      </c>
      <c r="N216" s="29" t="s">
        <v>1518</v>
      </c>
      <c r="O216" s="5"/>
    </row>
    <row r="217" spans="1:15">
      <c r="A217" s="30"/>
      <c r="B217" s="30">
        <v>28345</v>
      </c>
      <c r="C217" s="30">
        <v>1977</v>
      </c>
      <c r="D217" s="30"/>
      <c r="E217" s="30"/>
      <c r="F217" s="30"/>
      <c r="G217" s="30"/>
      <c r="H217" s="30">
        <v>591</v>
      </c>
      <c r="I217" s="30"/>
      <c r="J217" s="30"/>
      <c r="K217" s="30"/>
      <c r="L217" s="30"/>
      <c r="M217" s="30"/>
      <c r="N217" s="30"/>
      <c r="O217" s="5"/>
    </row>
    <row r="218" spans="1: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5"/>
    </row>
    <row r="219" spans="1:15">
      <c r="A219" s="14" t="s">
        <v>58</v>
      </c>
      <c r="B219" s="12" t="s">
        <v>2107</v>
      </c>
      <c r="C219" s="12" t="s">
        <v>353</v>
      </c>
      <c r="D219" s="12"/>
      <c r="E219" s="12" t="s">
        <v>668</v>
      </c>
      <c r="F219" s="12"/>
      <c r="G219" s="12"/>
      <c r="H219" s="12"/>
      <c r="I219" s="12"/>
      <c r="J219" s="12"/>
      <c r="K219" s="12"/>
      <c r="L219" s="15"/>
      <c r="M219" s="13">
        <v>11976</v>
      </c>
      <c r="N219" s="12" t="s">
        <v>2108</v>
      </c>
      <c r="O219" s="5"/>
    </row>
    <row r="220" spans="1:15">
      <c r="A220" s="13"/>
      <c r="B220" s="13">
        <v>37466</v>
      </c>
      <c r="C220" s="13">
        <v>4024</v>
      </c>
      <c r="D220" s="13"/>
      <c r="E220" s="13">
        <v>828</v>
      </c>
      <c r="F220" s="13"/>
      <c r="G220" s="13"/>
      <c r="H220" s="13"/>
      <c r="I220" s="13"/>
      <c r="J220" s="13"/>
      <c r="K220" s="13"/>
      <c r="L220" s="13"/>
      <c r="M220" s="13"/>
      <c r="N220" s="14"/>
      <c r="O220" s="5"/>
    </row>
    <row r="221" spans="1: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5"/>
    </row>
    <row r="222" spans="1:15">
      <c r="A222" s="33" t="s">
        <v>62</v>
      </c>
      <c r="B222" s="32" t="s">
        <v>839</v>
      </c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0">
        <v>8423</v>
      </c>
      <c r="N222" s="32" t="s">
        <v>841</v>
      </c>
      <c r="O222" s="5"/>
    </row>
    <row r="223" spans="1:15">
      <c r="A223" s="30"/>
      <c r="B223" s="30">
        <v>31359</v>
      </c>
      <c r="C223" s="30"/>
      <c r="D223" s="30"/>
      <c r="E223" s="30"/>
      <c r="F223" s="30"/>
      <c r="G223" s="30"/>
      <c r="H223" s="30"/>
      <c r="I223" s="33"/>
      <c r="J223" s="33"/>
      <c r="K223" s="33"/>
      <c r="L223" s="33"/>
      <c r="M223" s="30"/>
      <c r="N223" s="33"/>
      <c r="O223" s="5"/>
    </row>
    <row r="224" spans="1: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5"/>
    </row>
    <row r="225" spans="1:15">
      <c r="A225" s="14" t="s">
        <v>67</v>
      </c>
      <c r="B225" s="12" t="s">
        <v>68</v>
      </c>
      <c r="C225" s="12" t="s">
        <v>1041</v>
      </c>
      <c r="D225" s="12"/>
      <c r="E225" s="12" t="s">
        <v>1692</v>
      </c>
      <c r="F225" s="12"/>
      <c r="G225" s="12" t="s">
        <v>1041</v>
      </c>
      <c r="H225" s="12"/>
      <c r="I225" s="12"/>
      <c r="J225" s="12"/>
      <c r="K225" s="12"/>
      <c r="L225" s="12"/>
      <c r="M225" s="13">
        <v>8116</v>
      </c>
      <c r="N225" s="12" t="s">
        <v>69</v>
      </c>
      <c r="O225" s="5"/>
    </row>
    <row r="226" spans="1:15">
      <c r="A226" s="13"/>
      <c r="B226" s="13">
        <v>28618</v>
      </c>
      <c r="C226" s="13">
        <v>2160</v>
      </c>
      <c r="D226" s="13"/>
      <c r="E226" s="13">
        <v>407</v>
      </c>
      <c r="F226" s="13"/>
      <c r="G226" s="13">
        <v>323</v>
      </c>
      <c r="H226" s="13"/>
      <c r="I226" s="13"/>
      <c r="J226" s="13"/>
      <c r="K226" s="13"/>
      <c r="L226" s="13"/>
      <c r="M226" s="13"/>
      <c r="N226" s="14"/>
      <c r="O226" s="5"/>
    </row>
    <row r="227" spans="1: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5"/>
    </row>
    <row r="228" spans="1:15">
      <c r="A228" s="33" t="s">
        <v>72</v>
      </c>
      <c r="B228" s="32" t="s">
        <v>1349</v>
      </c>
      <c r="C228" s="32" t="s">
        <v>1877</v>
      </c>
      <c r="D228" s="32" t="s">
        <v>2109</v>
      </c>
      <c r="E228" s="32"/>
      <c r="F228" s="32"/>
      <c r="G228" s="32" t="s">
        <v>1877</v>
      </c>
      <c r="H228" s="32" t="s">
        <v>1878</v>
      </c>
      <c r="I228" s="31"/>
      <c r="J228" s="31"/>
      <c r="K228" s="31"/>
      <c r="L228" s="32"/>
      <c r="M228" s="30">
        <v>6010</v>
      </c>
      <c r="N228" s="32" t="s">
        <v>1350</v>
      </c>
      <c r="O228" s="5"/>
    </row>
    <row r="229" spans="1:15">
      <c r="A229" s="30"/>
      <c r="B229" s="30">
        <v>20369</v>
      </c>
      <c r="C229" s="30">
        <v>1374</v>
      </c>
      <c r="D229" s="30">
        <v>179</v>
      </c>
      <c r="E229" s="30"/>
      <c r="F229" s="30"/>
      <c r="G229" s="30">
        <v>236</v>
      </c>
      <c r="H229" s="30">
        <v>355</v>
      </c>
      <c r="I229" s="30"/>
      <c r="J229" s="30"/>
      <c r="K229" s="30"/>
      <c r="L229" s="30"/>
      <c r="M229" s="30"/>
      <c r="N229" s="33"/>
      <c r="O229" s="5"/>
    </row>
    <row r="230" spans="1: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5"/>
    </row>
    <row r="231" spans="1:15">
      <c r="A231" s="14" t="s">
        <v>79</v>
      </c>
      <c r="B231" s="12" t="s">
        <v>2110</v>
      </c>
      <c r="C231" s="12" t="s">
        <v>2111</v>
      </c>
      <c r="D231" s="12"/>
      <c r="E231" s="12" t="s">
        <v>2112</v>
      </c>
      <c r="F231" s="12" t="s">
        <v>1995</v>
      </c>
      <c r="G231" s="12"/>
      <c r="H231" s="12" t="s">
        <v>2112</v>
      </c>
      <c r="I231" s="12"/>
      <c r="J231" s="12" t="s">
        <v>1995</v>
      </c>
      <c r="K231" s="12"/>
      <c r="L231" s="12"/>
      <c r="M231" s="13">
        <v>9558</v>
      </c>
      <c r="N231" s="12" t="s">
        <v>2113</v>
      </c>
      <c r="O231" s="5"/>
    </row>
    <row r="232" spans="1:15">
      <c r="A232" s="13"/>
      <c r="B232" s="13">
        <v>20128</v>
      </c>
      <c r="C232" s="13">
        <v>20800</v>
      </c>
      <c r="D232" s="13"/>
      <c r="E232" s="13">
        <v>1823</v>
      </c>
      <c r="F232" s="13">
        <v>255</v>
      </c>
      <c r="G232" s="13"/>
      <c r="H232" s="13">
        <v>1089</v>
      </c>
      <c r="I232" s="13"/>
      <c r="J232" s="13">
        <v>636</v>
      </c>
      <c r="K232" s="13"/>
      <c r="L232" s="13"/>
      <c r="M232" s="13"/>
      <c r="N232" s="14"/>
      <c r="O232" s="5"/>
    </row>
    <row r="233" spans="1: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5"/>
    </row>
    <row r="234" spans="1:15">
      <c r="A234" s="33" t="s">
        <v>87</v>
      </c>
      <c r="B234" s="32" t="s">
        <v>2114</v>
      </c>
      <c r="C234" s="32" t="s">
        <v>2115</v>
      </c>
      <c r="D234" s="32" t="s">
        <v>2116</v>
      </c>
      <c r="E234" s="32"/>
      <c r="F234" s="32"/>
      <c r="G234" s="32"/>
      <c r="H234" s="32"/>
      <c r="I234" s="32"/>
      <c r="J234" s="32"/>
      <c r="K234" s="32"/>
      <c r="L234" s="29"/>
      <c r="M234" s="30">
        <v>9451</v>
      </c>
      <c r="N234" s="32" t="s">
        <v>88</v>
      </c>
      <c r="O234" s="5"/>
    </row>
    <row r="235" spans="1:15">
      <c r="A235" s="30"/>
      <c r="B235" s="30">
        <v>19389</v>
      </c>
      <c r="C235" s="30">
        <v>588</v>
      </c>
      <c r="D235" s="30">
        <v>266</v>
      </c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5"/>
    </row>
    <row r="236" spans="1: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5"/>
    </row>
    <row r="237" spans="1:15">
      <c r="A237" s="14" t="s">
        <v>92</v>
      </c>
      <c r="B237" s="12" t="s">
        <v>2117</v>
      </c>
      <c r="C237" s="12" t="s">
        <v>1703</v>
      </c>
      <c r="D237" s="12" t="s">
        <v>1703</v>
      </c>
      <c r="E237" s="12" t="s">
        <v>1703</v>
      </c>
      <c r="F237" s="12" t="s">
        <v>2117</v>
      </c>
      <c r="G237" s="12"/>
      <c r="H237" s="12" t="s">
        <v>1366</v>
      </c>
      <c r="I237" s="12"/>
      <c r="J237" s="12"/>
      <c r="K237" s="12"/>
      <c r="L237" s="12"/>
      <c r="M237" s="13">
        <v>8251</v>
      </c>
      <c r="N237" s="12" t="s">
        <v>1369</v>
      </c>
      <c r="O237" s="5"/>
    </row>
    <row r="238" spans="1:15">
      <c r="A238" s="13"/>
      <c r="B238" s="13">
        <v>18975</v>
      </c>
      <c r="C238" s="13">
        <v>645</v>
      </c>
      <c r="D238" s="13">
        <v>92</v>
      </c>
      <c r="E238" s="13">
        <v>56</v>
      </c>
      <c r="F238" s="13">
        <v>359</v>
      </c>
      <c r="G238" s="13"/>
      <c r="H238" s="13">
        <v>350</v>
      </c>
      <c r="I238" s="14"/>
      <c r="J238" s="14"/>
      <c r="K238" s="14"/>
      <c r="L238" s="12"/>
      <c r="M238" s="13"/>
      <c r="N238" s="13"/>
      <c r="O238" s="5"/>
    </row>
    <row r="239" spans="1: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5"/>
    </row>
    <row r="240" spans="1:15">
      <c r="A240" s="33" t="s">
        <v>95</v>
      </c>
      <c r="B240" s="32" t="s">
        <v>1163</v>
      </c>
      <c r="C240" s="32" t="s">
        <v>1351</v>
      </c>
      <c r="D240" s="32" t="s">
        <v>1351</v>
      </c>
      <c r="E240" s="32"/>
      <c r="F240" s="32"/>
      <c r="G240" s="32"/>
      <c r="H240" s="32"/>
      <c r="I240" s="32"/>
      <c r="J240" s="32"/>
      <c r="K240" s="32"/>
      <c r="L240" s="32"/>
      <c r="M240" s="30">
        <v>9823</v>
      </c>
      <c r="N240" s="32" t="s">
        <v>1164</v>
      </c>
      <c r="O240" s="5"/>
    </row>
    <row r="241" spans="1:15">
      <c r="A241" s="30"/>
      <c r="B241" s="29">
        <v>19618</v>
      </c>
      <c r="C241" s="29">
        <v>1551</v>
      </c>
      <c r="D241" s="29">
        <v>293</v>
      </c>
      <c r="E241" s="29"/>
      <c r="F241" s="29"/>
      <c r="G241" s="29"/>
      <c r="H241" s="29"/>
      <c r="I241" s="30"/>
      <c r="J241" s="30"/>
      <c r="K241" s="30"/>
      <c r="L241" s="30"/>
      <c r="M241" s="30"/>
      <c r="N241" s="33"/>
      <c r="O241" s="5"/>
    </row>
    <row r="242" spans="1: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5"/>
    </row>
    <row r="243" spans="1:15">
      <c r="A243" s="14" t="s">
        <v>98</v>
      </c>
      <c r="B243" s="12" t="s">
        <v>1352</v>
      </c>
      <c r="C243" s="15" t="s">
        <v>1883</v>
      </c>
      <c r="D243" s="12" t="s">
        <v>352</v>
      </c>
      <c r="E243" s="12"/>
      <c r="F243" s="12"/>
      <c r="G243" s="12"/>
      <c r="H243" s="12"/>
      <c r="I243" s="12"/>
      <c r="J243" s="12"/>
      <c r="K243" s="12"/>
      <c r="L243" s="12"/>
      <c r="M243" s="13">
        <v>7573</v>
      </c>
      <c r="N243" s="12" t="s">
        <v>1354</v>
      </c>
      <c r="O243" s="5"/>
    </row>
    <row r="244" spans="1:15">
      <c r="A244" s="13"/>
      <c r="B244" s="15">
        <v>20208</v>
      </c>
      <c r="C244" s="15">
        <v>511</v>
      </c>
      <c r="D244" s="15">
        <v>82</v>
      </c>
      <c r="E244" s="13"/>
      <c r="F244" s="13"/>
      <c r="G244" s="13"/>
      <c r="H244" s="13"/>
      <c r="I244" s="14"/>
      <c r="J244" s="14"/>
      <c r="K244" s="14"/>
      <c r="L244" s="14"/>
      <c r="M244" s="13"/>
      <c r="N244" s="14"/>
      <c r="O244" s="5"/>
    </row>
    <row r="245" spans="1: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5"/>
    </row>
    <row r="246" spans="1:15">
      <c r="A246" s="33" t="s">
        <v>103</v>
      </c>
      <c r="B246" s="32" t="s">
        <v>203</v>
      </c>
      <c r="C246" s="32" t="s">
        <v>2118</v>
      </c>
      <c r="D246" s="32" t="s">
        <v>2119</v>
      </c>
      <c r="E246" s="32"/>
      <c r="F246" s="32"/>
      <c r="G246" s="32"/>
      <c r="H246" s="32"/>
      <c r="I246" s="32"/>
      <c r="J246" s="32"/>
      <c r="K246" s="32"/>
      <c r="L246" s="32"/>
      <c r="M246" s="30">
        <v>7011</v>
      </c>
      <c r="N246" s="32" t="s">
        <v>202</v>
      </c>
      <c r="O246" s="5"/>
    </row>
    <row r="247" spans="1:15">
      <c r="A247" s="30"/>
      <c r="B247" s="29">
        <v>15655</v>
      </c>
      <c r="C247" s="29">
        <v>689</v>
      </c>
      <c r="D247" s="29">
        <v>129</v>
      </c>
      <c r="E247" s="29"/>
      <c r="F247" s="29"/>
      <c r="G247" s="29"/>
      <c r="H247" s="29"/>
      <c r="I247" s="30"/>
      <c r="J247" s="30"/>
      <c r="K247" s="30"/>
      <c r="L247" s="33"/>
      <c r="M247" s="30"/>
      <c r="N247" s="30"/>
      <c r="O247" s="5"/>
    </row>
    <row r="248" spans="1: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>
      <c r="A249" s="14" t="s">
        <v>109</v>
      </c>
      <c r="B249" s="12" t="s">
        <v>1884</v>
      </c>
      <c r="C249" s="12" t="s">
        <v>2120</v>
      </c>
      <c r="D249" s="12" t="s">
        <v>1535</v>
      </c>
      <c r="E249" s="12"/>
      <c r="F249" s="12" t="s">
        <v>1155</v>
      </c>
      <c r="G249" s="12"/>
      <c r="H249" s="12"/>
      <c r="I249" s="15"/>
      <c r="J249" s="15"/>
      <c r="K249" s="15"/>
      <c r="L249" s="15"/>
      <c r="M249" s="13">
        <v>8925</v>
      </c>
      <c r="N249" s="12" t="s">
        <v>1886</v>
      </c>
      <c r="O249" s="5"/>
    </row>
    <row r="250" spans="1:15">
      <c r="A250" s="13"/>
      <c r="B250" s="15">
        <v>20261</v>
      </c>
      <c r="C250" s="15">
        <v>790</v>
      </c>
      <c r="D250" s="15">
        <v>235</v>
      </c>
      <c r="E250" s="15"/>
      <c r="F250" s="15">
        <v>359</v>
      </c>
      <c r="G250" s="15"/>
      <c r="H250" s="15"/>
      <c r="I250" s="13"/>
      <c r="J250" s="13"/>
      <c r="K250" s="13"/>
      <c r="L250" s="13"/>
      <c r="M250" s="13"/>
      <c r="N250" s="13"/>
      <c r="O250" s="5"/>
    </row>
    <row r="251" spans="1: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5"/>
    </row>
    <row r="252" spans="1:15">
      <c r="A252" s="33" t="s">
        <v>113</v>
      </c>
      <c r="B252" s="32" t="s">
        <v>1887</v>
      </c>
      <c r="C252" s="32" t="s">
        <v>2121</v>
      </c>
      <c r="D252" s="29" t="s">
        <v>2122</v>
      </c>
      <c r="E252" s="32" t="s">
        <v>2123</v>
      </c>
      <c r="F252" s="32" t="s">
        <v>1998</v>
      </c>
      <c r="G252" s="32"/>
      <c r="H252" s="32" t="s">
        <v>1998</v>
      </c>
      <c r="I252" s="32"/>
      <c r="J252" s="32"/>
      <c r="K252" s="32"/>
      <c r="L252" s="29"/>
      <c r="M252" s="30">
        <v>8434</v>
      </c>
      <c r="N252" s="32" t="s">
        <v>1889</v>
      </c>
      <c r="O252" s="5"/>
    </row>
    <row r="253" spans="1:15">
      <c r="A253" s="30"/>
      <c r="B253" s="29">
        <v>19110</v>
      </c>
      <c r="C253" s="29">
        <v>2975</v>
      </c>
      <c r="D253" s="30">
        <v>437</v>
      </c>
      <c r="E253" s="29">
        <v>700</v>
      </c>
      <c r="F253" s="29">
        <v>596</v>
      </c>
      <c r="G253" s="29"/>
      <c r="H253" s="29">
        <v>484</v>
      </c>
      <c r="I253" s="30"/>
      <c r="J253" s="30"/>
      <c r="K253" s="30"/>
      <c r="L253" s="30"/>
      <c r="M253" s="30"/>
      <c r="N253" s="30"/>
      <c r="O253" s="5"/>
    </row>
    <row r="254" spans="1: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5"/>
    </row>
    <row r="255" spans="1:15">
      <c r="A255" s="14" t="s">
        <v>124</v>
      </c>
      <c r="B255" s="12" t="s">
        <v>125</v>
      </c>
      <c r="C255" s="12" t="s">
        <v>2124</v>
      </c>
      <c r="D255" s="12" t="s">
        <v>2124</v>
      </c>
      <c r="E255" s="12"/>
      <c r="F255" s="12" t="s">
        <v>313</v>
      </c>
      <c r="G255" s="12"/>
      <c r="H255" s="12" t="s">
        <v>313</v>
      </c>
      <c r="I255" s="12"/>
      <c r="J255" s="12"/>
      <c r="K255" s="12"/>
      <c r="L255" s="12"/>
      <c r="M255" s="13">
        <v>9001</v>
      </c>
      <c r="N255" s="12" t="s">
        <v>126</v>
      </c>
      <c r="O255" s="5"/>
    </row>
    <row r="256" spans="1:15">
      <c r="A256" s="13"/>
      <c r="B256" s="15">
        <v>24279</v>
      </c>
      <c r="C256" s="15">
        <v>4360</v>
      </c>
      <c r="D256" s="15">
        <v>637</v>
      </c>
      <c r="E256" s="15"/>
      <c r="F256" s="15">
        <v>659</v>
      </c>
      <c r="G256" s="15"/>
      <c r="H256" s="15">
        <v>559</v>
      </c>
      <c r="I256" s="15"/>
      <c r="J256" s="15"/>
      <c r="K256" s="15"/>
      <c r="L256" s="15"/>
      <c r="M256" s="13"/>
      <c r="N256" s="13"/>
      <c r="O256" s="5"/>
    </row>
    <row r="257" spans="1: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5"/>
    </row>
    <row r="258" spans="1:15">
      <c r="A258" s="33" t="s">
        <v>130</v>
      </c>
      <c r="B258" s="32" t="s">
        <v>1890</v>
      </c>
      <c r="C258" s="32" t="s">
        <v>1891</v>
      </c>
      <c r="D258" s="32" t="s">
        <v>1892</v>
      </c>
      <c r="E258" s="32"/>
      <c r="F258" s="32"/>
      <c r="G258" s="32"/>
      <c r="H258" s="32"/>
      <c r="I258" s="29"/>
      <c r="J258" s="29"/>
      <c r="K258" s="29"/>
      <c r="L258" s="29"/>
      <c r="M258" s="30">
        <v>13770</v>
      </c>
      <c r="N258" s="32" t="s">
        <v>1893</v>
      </c>
      <c r="O258" s="5"/>
    </row>
    <row r="259" spans="1:15">
      <c r="A259" s="30"/>
      <c r="B259" s="29">
        <v>22127</v>
      </c>
      <c r="C259" s="29">
        <v>4902</v>
      </c>
      <c r="D259" s="29">
        <v>1425</v>
      </c>
      <c r="E259" s="30"/>
      <c r="F259" s="30"/>
      <c r="G259" s="30"/>
      <c r="H259" s="30"/>
      <c r="I259" s="30"/>
      <c r="J259" s="30"/>
      <c r="K259" s="30"/>
      <c r="L259" s="29"/>
      <c r="M259" s="30"/>
      <c r="N259" s="30"/>
      <c r="O259" s="5"/>
    </row>
    <row r="260" spans="1: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5"/>
    </row>
    <row r="261" spans="1:15">
      <c r="A261" s="14" t="s">
        <v>136</v>
      </c>
      <c r="B261" s="12" t="s">
        <v>204</v>
      </c>
      <c r="C261" s="12" t="s">
        <v>668</v>
      </c>
      <c r="D261" s="15" t="s">
        <v>2125</v>
      </c>
      <c r="E261" s="12"/>
      <c r="F261" s="12"/>
      <c r="G261" s="12"/>
      <c r="H261" s="12"/>
      <c r="I261" s="12"/>
      <c r="J261" s="12"/>
      <c r="K261" s="12"/>
      <c r="L261" s="15"/>
      <c r="M261" s="13">
        <v>12543</v>
      </c>
      <c r="N261" s="12" t="s">
        <v>205</v>
      </c>
      <c r="O261" s="5"/>
    </row>
    <row r="262" spans="1:15">
      <c r="A262" s="13"/>
      <c r="B262" s="15">
        <v>21368</v>
      </c>
      <c r="C262" s="15">
        <v>1385</v>
      </c>
      <c r="D262" s="15">
        <v>183</v>
      </c>
      <c r="E262" s="15"/>
      <c r="F262" s="15"/>
      <c r="G262" s="15"/>
      <c r="H262" s="15"/>
      <c r="I262" s="13"/>
      <c r="J262" s="13"/>
      <c r="K262" s="13"/>
      <c r="L262" s="15"/>
      <c r="M262" s="13"/>
      <c r="N262" s="13"/>
      <c r="O262" s="5"/>
    </row>
    <row r="263" spans="1: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5"/>
    </row>
    <row r="264" spans="1:15">
      <c r="A264" s="33" t="s">
        <v>140</v>
      </c>
      <c r="B264" s="29" t="s">
        <v>2126</v>
      </c>
      <c r="C264" s="32"/>
      <c r="D264" s="29" t="s">
        <v>1928</v>
      </c>
      <c r="E264" s="32" t="s">
        <v>189</v>
      </c>
      <c r="F264" s="32" t="s">
        <v>189</v>
      </c>
      <c r="G264" s="32"/>
      <c r="H264" s="32"/>
      <c r="I264" s="32" t="s">
        <v>1928</v>
      </c>
      <c r="J264" s="32"/>
      <c r="K264" s="32"/>
      <c r="L264" s="29"/>
      <c r="M264" s="30">
        <v>10357</v>
      </c>
      <c r="N264" s="32" t="s">
        <v>2127</v>
      </c>
      <c r="O264" s="5"/>
    </row>
    <row r="265" spans="1:15">
      <c r="A265" s="30"/>
      <c r="B265" s="29">
        <v>21413</v>
      </c>
      <c r="C265" s="29"/>
      <c r="D265" s="30">
        <v>677</v>
      </c>
      <c r="E265" s="30">
        <v>550</v>
      </c>
      <c r="F265" s="30">
        <v>342</v>
      </c>
      <c r="G265" s="30"/>
      <c r="H265" s="30"/>
      <c r="I265" s="29">
        <v>396</v>
      </c>
      <c r="J265" s="29"/>
      <c r="K265" s="29"/>
      <c r="L265" s="29"/>
      <c r="M265" s="30"/>
      <c r="N265" s="30"/>
      <c r="O265" s="5"/>
    </row>
    <row r="266" spans="1: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5"/>
    </row>
    <row r="267" spans="1:15">
      <c r="A267" s="14" t="s">
        <v>144</v>
      </c>
      <c r="B267" s="15" t="s">
        <v>2128</v>
      </c>
      <c r="C267" s="12"/>
      <c r="D267" s="15" t="s">
        <v>2128</v>
      </c>
      <c r="E267" s="15" t="s">
        <v>1901</v>
      </c>
      <c r="F267" s="15" t="s">
        <v>1901</v>
      </c>
      <c r="G267" s="15"/>
      <c r="H267" s="15"/>
      <c r="I267" s="12" t="s">
        <v>1902</v>
      </c>
      <c r="J267" s="12"/>
      <c r="K267" s="12"/>
      <c r="L267" s="15"/>
      <c r="M267" s="13">
        <v>21458</v>
      </c>
      <c r="N267" s="12" t="s">
        <v>1903</v>
      </c>
      <c r="O267" s="5"/>
    </row>
    <row r="268" spans="1:15">
      <c r="A268" s="13"/>
      <c r="B268" s="15">
        <v>29485</v>
      </c>
      <c r="C268" s="13"/>
      <c r="D268" s="15">
        <v>1671</v>
      </c>
      <c r="E268" s="13">
        <v>1074</v>
      </c>
      <c r="F268" s="13">
        <v>442</v>
      </c>
      <c r="G268" s="13"/>
      <c r="H268" s="13"/>
      <c r="I268" s="15">
        <v>1465</v>
      </c>
      <c r="J268" s="15"/>
      <c r="K268" s="15"/>
      <c r="L268" s="13"/>
      <c r="M268" s="13"/>
      <c r="N268" s="13"/>
      <c r="O268" s="5"/>
    </row>
    <row r="269" spans="1: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5"/>
    </row>
    <row r="270" spans="1:15">
      <c r="A270" s="33" t="s">
        <v>148</v>
      </c>
      <c r="B270" s="29" t="s">
        <v>2129</v>
      </c>
      <c r="C270" s="32" t="s">
        <v>1234</v>
      </c>
      <c r="D270" s="29" t="s">
        <v>1234</v>
      </c>
      <c r="E270" s="29" t="s">
        <v>1376</v>
      </c>
      <c r="F270" s="29"/>
      <c r="G270" s="29"/>
      <c r="H270" s="29"/>
      <c r="I270" s="32" t="s">
        <v>2130</v>
      </c>
      <c r="J270" s="32"/>
      <c r="K270" s="32"/>
      <c r="L270" s="29"/>
      <c r="M270" s="30">
        <v>8819</v>
      </c>
      <c r="N270" s="32" t="s">
        <v>1377</v>
      </c>
      <c r="O270" s="5"/>
    </row>
    <row r="271" spans="1:15">
      <c r="A271" s="30"/>
      <c r="B271" s="29">
        <v>33155</v>
      </c>
      <c r="C271" s="30">
        <v>14327</v>
      </c>
      <c r="D271" s="30">
        <v>1138</v>
      </c>
      <c r="E271" s="30">
        <v>1192</v>
      </c>
      <c r="F271" s="30"/>
      <c r="G271" s="30"/>
      <c r="H271" s="30"/>
      <c r="I271" s="29">
        <v>873</v>
      </c>
      <c r="J271" s="29"/>
      <c r="K271" s="29"/>
      <c r="L271" s="30"/>
      <c r="M271" s="30"/>
      <c r="N271" s="30"/>
      <c r="O271" s="5"/>
    </row>
    <row r="272" spans="1: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5"/>
    </row>
    <row r="273" spans="1:15">
      <c r="A273" s="14" t="s">
        <v>153</v>
      </c>
      <c r="B273" s="15"/>
      <c r="C273" s="12" t="s">
        <v>2131</v>
      </c>
      <c r="D273" s="12" t="s">
        <v>2131</v>
      </c>
      <c r="E273" s="15" t="s">
        <v>1182</v>
      </c>
      <c r="F273" s="15"/>
      <c r="G273" s="15"/>
      <c r="H273" s="15"/>
      <c r="I273" s="12" t="s">
        <v>534</v>
      </c>
      <c r="J273" s="12"/>
      <c r="K273" s="12"/>
      <c r="L273" s="15"/>
      <c r="M273" s="13">
        <v>20550</v>
      </c>
      <c r="N273" s="12" t="s">
        <v>2132</v>
      </c>
      <c r="O273" s="5"/>
    </row>
    <row r="274" spans="1:15">
      <c r="A274" s="13"/>
      <c r="B274" s="15"/>
      <c r="C274" s="15">
        <v>22084</v>
      </c>
      <c r="D274" s="15">
        <v>2383</v>
      </c>
      <c r="E274" s="13">
        <v>2202</v>
      </c>
      <c r="F274" s="13"/>
      <c r="G274" s="13"/>
      <c r="H274" s="13"/>
      <c r="I274" s="15">
        <v>2343</v>
      </c>
      <c r="J274" s="15"/>
      <c r="K274" s="15"/>
      <c r="L274" s="13"/>
      <c r="M274" s="13"/>
      <c r="N274" s="13"/>
      <c r="O274" s="5"/>
    </row>
    <row r="275" spans="1: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5"/>
    </row>
    <row r="276" spans="1:15">
      <c r="A276" s="33" t="s">
        <v>161</v>
      </c>
      <c r="B276" s="29" t="s">
        <v>206</v>
      </c>
      <c r="C276" s="32" t="s">
        <v>2133</v>
      </c>
      <c r="D276" s="32" t="s">
        <v>2133</v>
      </c>
      <c r="E276" s="29" t="s">
        <v>2133</v>
      </c>
      <c r="F276" s="29" t="s">
        <v>206</v>
      </c>
      <c r="G276" s="29"/>
      <c r="H276" s="29"/>
      <c r="I276" s="32" t="s">
        <v>2134</v>
      </c>
      <c r="J276" s="32" t="s">
        <v>2263</v>
      </c>
      <c r="K276" s="32"/>
      <c r="L276" s="29"/>
      <c r="M276" s="30">
        <v>6794</v>
      </c>
      <c r="N276" s="32" t="s">
        <v>207</v>
      </c>
      <c r="O276" s="5"/>
    </row>
    <row r="277" spans="1:15">
      <c r="A277" s="30"/>
      <c r="B277" s="29">
        <v>29437</v>
      </c>
      <c r="C277" s="29">
        <v>17073</v>
      </c>
      <c r="D277" s="29">
        <v>1135</v>
      </c>
      <c r="E277" s="30">
        <v>658</v>
      </c>
      <c r="F277" s="30">
        <v>496</v>
      </c>
      <c r="G277" s="30"/>
      <c r="H277" s="30"/>
      <c r="I277" s="30">
        <v>773</v>
      </c>
      <c r="J277" s="30">
        <v>352</v>
      </c>
      <c r="K277" s="30"/>
      <c r="L277" s="30"/>
      <c r="M277" s="30"/>
      <c r="N277" s="30"/>
      <c r="O277" s="5"/>
    </row>
    <row r="278" spans="1: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5"/>
    </row>
    <row r="279" spans="1:15">
      <c r="A279" s="14" t="s">
        <v>167</v>
      </c>
      <c r="B279" s="15" t="s">
        <v>2135</v>
      </c>
      <c r="C279" s="15" t="s">
        <v>2136</v>
      </c>
      <c r="D279" s="15" t="s">
        <v>2136</v>
      </c>
      <c r="E279" s="15" t="s">
        <v>2137</v>
      </c>
      <c r="F279" s="15" t="s">
        <v>2137</v>
      </c>
      <c r="G279" s="15"/>
      <c r="H279" s="15"/>
      <c r="I279" s="12" t="s">
        <v>1897</v>
      </c>
      <c r="J279" s="12"/>
      <c r="K279" s="12"/>
      <c r="L279" s="15"/>
      <c r="M279" s="13">
        <v>7345</v>
      </c>
      <c r="N279" s="12" t="s">
        <v>2138</v>
      </c>
      <c r="O279" s="5"/>
    </row>
    <row r="280" spans="1:15">
      <c r="A280" s="13"/>
      <c r="B280" s="15">
        <v>32865</v>
      </c>
      <c r="C280" s="15">
        <v>22127</v>
      </c>
      <c r="D280" s="15">
        <v>1464</v>
      </c>
      <c r="E280" s="13">
        <v>1220</v>
      </c>
      <c r="F280" s="13">
        <v>523</v>
      </c>
      <c r="G280" s="13"/>
      <c r="H280" s="13"/>
      <c r="I280" s="15">
        <v>875</v>
      </c>
      <c r="J280" s="15"/>
      <c r="K280" s="15"/>
      <c r="L280" s="13"/>
      <c r="M280" s="13"/>
      <c r="N280" s="13"/>
      <c r="O280" s="5"/>
    </row>
    <row r="281" spans="1: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5"/>
    </row>
    <row r="282" spans="1:15">
      <c r="A282" s="33" t="s">
        <v>172</v>
      </c>
      <c r="B282" s="29" t="s">
        <v>1706</v>
      </c>
      <c r="C282" s="32" t="s">
        <v>2139</v>
      </c>
      <c r="D282" s="32" t="s">
        <v>2139</v>
      </c>
      <c r="E282" s="29" t="s">
        <v>2139</v>
      </c>
      <c r="F282" s="29" t="s">
        <v>230</v>
      </c>
      <c r="G282" s="29"/>
      <c r="H282" s="29"/>
      <c r="I282" s="32" t="s">
        <v>1899</v>
      </c>
      <c r="J282" s="32"/>
      <c r="K282" s="32"/>
      <c r="L282" s="29"/>
      <c r="M282" s="30">
        <v>6390</v>
      </c>
      <c r="N282" s="32" t="s">
        <v>173</v>
      </c>
      <c r="O282" s="5"/>
    </row>
    <row r="283" spans="1:15">
      <c r="A283" s="30"/>
      <c r="B283" s="29">
        <v>29915</v>
      </c>
      <c r="C283" s="29">
        <v>16647</v>
      </c>
      <c r="D283" s="29">
        <v>1394</v>
      </c>
      <c r="E283" s="30">
        <v>728</v>
      </c>
      <c r="F283" s="30">
        <v>892</v>
      </c>
      <c r="G283" s="30"/>
      <c r="H283" s="30"/>
      <c r="I283" s="29">
        <v>848</v>
      </c>
      <c r="J283" s="29"/>
      <c r="K283" s="29"/>
      <c r="L283" s="30"/>
      <c r="M283" s="30"/>
      <c r="N283" s="30"/>
      <c r="O283" s="5"/>
    </row>
    <row r="284" spans="1: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5"/>
    </row>
    <row r="285" spans="1:15">
      <c r="A285" s="14" t="s">
        <v>177</v>
      </c>
      <c r="B285" s="15"/>
      <c r="C285" s="12" t="s">
        <v>2140</v>
      </c>
      <c r="D285" s="12" t="s">
        <v>2140</v>
      </c>
      <c r="E285" s="15"/>
      <c r="F285" s="15"/>
      <c r="G285" s="15"/>
      <c r="H285" s="15"/>
      <c r="I285" s="12"/>
      <c r="J285" s="12"/>
      <c r="K285" s="12"/>
      <c r="L285" s="15"/>
      <c r="M285" s="13">
        <v>22988</v>
      </c>
      <c r="N285" s="12" t="s">
        <v>1717</v>
      </c>
      <c r="O285" s="5"/>
    </row>
    <row r="286" spans="1:15">
      <c r="A286" s="13"/>
      <c r="B286" s="13"/>
      <c r="C286" s="14">
        <v>30993</v>
      </c>
      <c r="D286" s="13">
        <v>4207</v>
      </c>
      <c r="E286" s="13"/>
      <c r="F286" s="13"/>
      <c r="G286" s="13"/>
      <c r="H286" s="13"/>
      <c r="I286" s="14"/>
      <c r="J286" s="14"/>
      <c r="K286" s="14"/>
      <c r="L286" s="13"/>
      <c r="M286" s="13"/>
      <c r="N286" s="5"/>
      <c r="O286" s="5"/>
    </row>
    <row r="287" spans="1:15">
      <c r="A287" s="13"/>
      <c r="B287" s="13"/>
      <c r="C287" s="14"/>
      <c r="D287" s="13"/>
      <c r="E287" s="13"/>
      <c r="F287" s="13"/>
      <c r="G287" s="13"/>
      <c r="H287" s="13"/>
      <c r="I287" s="14"/>
      <c r="J287" s="14"/>
      <c r="K287" s="14"/>
      <c r="L287" s="13"/>
      <c r="M287" s="13"/>
      <c r="N287" s="5"/>
      <c r="O287" s="5"/>
    </row>
    <row r="288" spans="1:15">
      <c r="A288" s="33" t="s">
        <v>6</v>
      </c>
      <c r="B288" s="29" t="s">
        <v>2141</v>
      </c>
      <c r="C288" s="32"/>
      <c r="D288" s="29" t="s">
        <v>2141</v>
      </c>
      <c r="E288" s="29" t="s">
        <v>1906</v>
      </c>
      <c r="F288" s="29" t="s">
        <v>1906</v>
      </c>
      <c r="G288" s="29"/>
      <c r="H288" s="29"/>
      <c r="I288" s="29" t="s">
        <v>1907</v>
      </c>
      <c r="J288" s="29"/>
      <c r="K288" s="29"/>
      <c r="L288" s="29"/>
      <c r="M288" s="30">
        <v>21976</v>
      </c>
      <c r="N288" s="32" t="s">
        <v>1908</v>
      </c>
      <c r="O288" s="5"/>
    </row>
    <row r="289" spans="1:15">
      <c r="A289" s="30"/>
      <c r="B289" s="30">
        <v>29562</v>
      </c>
      <c r="C289" s="30"/>
      <c r="D289" s="30">
        <v>2742</v>
      </c>
      <c r="E289" s="30">
        <v>1723</v>
      </c>
      <c r="F289" s="30">
        <v>846</v>
      </c>
      <c r="G289" s="30"/>
      <c r="H289" s="30"/>
      <c r="I289" s="30">
        <v>1934</v>
      </c>
      <c r="J289" s="30"/>
      <c r="K289" s="30"/>
      <c r="L289" s="30"/>
      <c r="M289" s="30"/>
      <c r="N289" s="30"/>
      <c r="O289" s="5"/>
    </row>
    <row r="290" spans="1: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5"/>
      <c r="N290" s="13"/>
      <c r="O290" s="5"/>
    </row>
    <row r="291" spans="1:15">
      <c r="A291" s="14" t="s">
        <v>13</v>
      </c>
      <c r="B291" s="15" t="s">
        <v>2142</v>
      </c>
      <c r="C291" s="15"/>
      <c r="D291" s="15" t="s">
        <v>2143</v>
      </c>
      <c r="E291" s="15" t="s">
        <v>2144</v>
      </c>
      <c r="F291" s="15" t="s">
        <v>2144</v>
      </c>
      <c r="G291" s="15"/>
      <c r="H291" s="15"/>
      <c r="I291" s="15" t="s">
        <v>414</v>
      </c>
      <c r="J291" s="15" t="s">
        <v>2264</v>
      </c>
      <c r="K291" s="15"/>
      <c r="L291" s="15"/>
      <c r="M291" s="13">
        <v>20122</v>
      </c>
      <c r="N291" s="12" t="s">
        <v>2145</v>
      </c>
      <c r="O291" s="5"/>
    </row>
    <row r="292" spans="1:15">
      <c r="A292" s="13"/>
      <c r="B292" s="13">
        <v>28203</v>
      </c>
      <c r="C292" s="13"/>
      <c r="D292" s="13">
        <v>2023</v>
      </c>
      <c r="E292" s="13">
        <v>1723</v>
      </c>
      <c r="F292" s="13">
        <v>1096</v>
      </c>
      <c r="G292" s="13"/>
      <c r="H292" s="13"/>
      <c r="I292" s="13">
        <v>1181</v>
      </c>
      <c r="J292" s="13">
        <v>703</v>
      </c>
      <c r="K292" s="13"/>
      <c r="L292" s="13"/>
      <c r="M292" s="13"/>
      <c r="N292" s="13"/>
      <c r="O292" s="5"/>
    </row>
    <row r="293" spans="1: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5"/>
    </row>
    <row r="294" spans="1:15">
      <c r="A294" s="33" t="s">
        <v>22</v>
      </c>
      <c r="B294" s="29" t="s">
        <v>2146</v>
      </c>
      <c r="C294" s="29" t="s">
        <v>438</v>
      </c>
      <c r="D294" s="32" t="s">
        <v>2147</v>
      </c>
      <c r="E294" s="29"/>
      <c r="F294" s="29" t="s">
        <v>2146</v>
      </c>
      <c r="G294" s="29"/>
      <c r="H294" s="29"/>
      <c r="I294" s="32" t="s">
        <v>2148</v>
      </c>
      <c r="J294" s="32"/>
      <c r="K294" s="32"/>
      <c r="L294" s="29"/>
      <c r="M294" s="30">
        <v>6436</v>
      </c>
      <c r="N294" s="32" t="s">
        <v>1190</v>
      </c>
      <c r="O294" s="5"/>
    </row>
    <row r="295" spans="1:15">
      <c r="A295" s="30"/>
      <c r="B295" s="30">
        <v>16709</v>
      </c>
      <c r="C295" s="30">
        <v>27280</v>
      </c>
      <c r="D295" s="30">
        <v>2617</v>
      </c>
      <c r="E295" s="30"/>
      <c r="F295" s="30">
        <v>479</v>
      </c>
      <c r="G295" s="30"/>
      <c r="H295" s="30"/>
      <c r="I295" s="30">
        <v>1128</v>
      </c>
      <c r="J295" s="30"/>
      <c r="K295" s="30"/>
      <c r="L295" s="30"/>
      <c r="M295" s="30"/>
      <c r="N295" s="30"/>
      <c r="O295" s="5"/>
    </row>
    <row r="296" spans="1: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5"/>
    </row>
    <row r="297" spans="1:15">
      <c r="A297" s="14" t="s">
        <v>28</v>
      </c>
      <c r="B297" s="15" t="s">
        <v>2149</v>
      </c>
      <c r="C297" s="12" t="s">
        <v>1910</v>
      </c>
      <c r="D297" s="12" t="s">
        <v>1910</v>
      </c>
      <c r="E297" s="15"/>
      <c r="F297" s="15" t="s">
        <v>2149</v>
      </c>
      <c r="G297" s="15"/>
      <c r="H297" s="15"/>
      <c r="I297" s="15" t="s">
        <v>800</v>
      </c>
      <c r="J297" s="15" t="s">
        <v>2265</v>
      </c>
      <c r="K297" s="15"/>
      <c r="L297" s="15"/>
      <c r="M297" s="13">
        <v>6802</v>
      </c>
      <c r="N297" s="12" t="s">
        <v>1911</v>
      </c>
      <c r="O297" s="5"/>
    </row>
    <row r="298" spans="1:15">
      <c r="A298" s="13"/>
      <c r="B298" s="13">
        <v>16090</v>
      </c>
      <c r="C298" s="13">
        <v>27552</v>
      </c>
      <c r="D298" s="13">
        <v>2131</v>
      </c>
      <c r="E298" s="13"/>
      <c r="F298" s="13">
        <v>454</v>
      </c>
      <c r="G298" s="13"/>
      <c r="H298" s="13"/>
      <c r="I298" s="13">
        <v>1248</v>
      </c>
      <c r="J298" s="13">
        <v>874</v>
      </c>
      <c r="K298" s="13"/>
      <c r="L298" s="13"/>
      <c r="M298" s="13"/>
      <c r="N298" s="13"/>
      <c r="O298" s="5"/>
    </row>
    <row r="299" spans="1: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5"/>
    </row>
    <row r="300" spans="1:15">
      <c r="A300" s="33" t="s">
        <v>32</v>
      </c>
      <c r="B300" s="29" t="s">
        <v>2150</v>
      </c>
      <c r="C300" s="32" t="s">
        <v>2151</v>
      </c>
      <c r="D300" s="32" t="s">
        <v>2151</v>
      </c>
      <c r="E300" s="29" t="s">
        <v>2150</v>
      </c>
      <c r="F300" s="29" t="s">
        <v>2150</v>
      </c>
      <c r="G300" s="29"/>
      <c r="H300" s="29"/>
      <c r="I300" s="32" t="s">
        <v>1195</v>
      </c>
      <c r="J300" s="32"/>
      <c r="K300" s="32"/>
      <c r="L300" s="29"/>
      <c r="M300" s="30">
        <v>4975</v>
      </c>
      <c r="N300" s="32" t="s">
        <v>1196</v>
      </c>
      <c r="O300" s="5"/>
    </row>
    <row r="301" spans="1:15">
      <c r="A301" s="30"/>
      <c r="B301" s="30">
        <v>15498</v>
      </c>
      <c r="C301" s="30">
        <v>19410</v>
      </c>
      <c r="D301" s="30">
        <v>1689</v>
      </c>
      <c r="E301" s="30">
        <v>752</v>
      </c>
      <c r="F301" s="30">
        <v>466</v>
      </c>
      <c r="G301" s="30"/>
      <c r="H301" s="30"/>
      <c r="I301" s="33">
        <v>1020</v>
      </c>
      <c r="J301" s="33"/>
      <c r="K301" s="33"/>
      <c r="L301" s="30"/>
      <c r="M301" s="30"/>
      <c r="N301" s="30" t="s">
        <v>33</v>
      </c>
      <c r="O301" s="5"/>
    </row>
    <row r="302" spans="1: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5"/>
    </row>
    <row r="303" spans="1:15">
      <c r="A303" s="14" t="s">
        <v>39</v>
      </c>
      <c r="B303" s="15" t="s">
        <v>2152</v>
      </c>
      <c r="C303" s="12" t="s">
        <v>2153</v>
      </c>
      <c r="D303" s="12" t="s">
        <v>2153</v>
      </c>
      <c r="E303" s="15" t="s">
        <v>2152</v>
      </c>
      <c r="F303" s="15" t="s">
        <v>2152</v>
      </c>
      <c r="G303" s="15"/>
      <c r="H303" s="15"/>
      <c r="I303" s="15"/>
      <c r="J303" s="15"/>
      <c r="K303" s="15"/>
      <c r="L303" s="15"/>
      <c r="M303" s="13">
        <v>5126</v>
      </c>
      <c r="N303" s="12" t="s">
        <v>1199</v>
      </c>
      <c r="O303" s="5"/>
    </row>
    <row r="304" spans="1:15">
      <c r="A304" s="13"/>
      <c r="B304" s="13">
        <v>19436</v>
      </c>
      <c r="C304" s="13">
        <v>24326</v>
      </c>
      <c r="D304" s="13">
        <v>2254</v>
      </c>
      <c r="E304" s="13">
        <v>1124</v>
      </c>
      <c r="F304" s="13">
        <v>596</v>
      </c>
      <c r="G304" s="13"/>
      <c r="H304" s="13"/>
      <c r="I304" s="13"/>
      <c r="J304" s="13"/>
      <c r="K304" s="13"/>
      <c r="L304" s="13"/>
      <c r="M304" s="13"/>
      <c r="N304" s="13"/>
      <c r="O304" s="5"/>
    </row>
    <row r="305" spans="1: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5"/>
    </row>
    <row r="306" spans="1:15">
      <c r="A306" s="33" t="s">
        <v>48</v>
      </c>
      <c r="B306" s="29" t="s">
        <v>1912</v>
      </c>
      <c r="C306" s="32" t="s">
        <v>1913</v>
      </c>
      <c r="D306" s="29" t="s">
        <v>1912</v>
      </c>
      <c r="E306" s="29"/>
      <c r="F306" s="29"/>
      <c r="G306" s="29"/>
      <c r="H306" s="29"/>
      <c r="I306" s="32" t="s">
        <v>1914</v>
      </c>
      <c r="J306" s="32" t="s">
        <v>1913</v>
      </c>
      <c r="K306" s="32"/>
      <c r="L306" s="29" t="s">
        <v>2154</v>
      </c>
      <c r="M306" s="30">
        <v>5931</v>
      </c>
      <c r="N306" s="32" t="s">
        <v>1915</v>
      </c>
      <c r="O306" s="5"/>
    </row>
    <row r="307" spans="1:15">
      <c r="A307" s="30"/>
      <c r="B307" s="30">
        <v>26577</v>
      </c>
      <c r="C307" s="30">
        <v>11446</v>
      </c>
      <c r="D307" s="30">
        <v>2272</v>
      </c>
      <c r="E307" s="30"/>
      <c r="F307" s="30"/>
      <c r="G307" s="30"/>
      <c r="H307" s="30"/>
      <c r="I307" s="30">
        <v>823</v>
      </c>
      <c r="J307" s="30">
        <v>683</v>
      </c>
      <c r="K307" s="30"/>
      <c r="L307" s="30">
        <v>122</v>
      </c>
      <c r="M307" s="30"/>
      <c r="N307" s="30"/>
      <c r="O307" s="5"/>
    </row>
    <row r="308" spans="1: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5"/>
    </row>
    <row r="309" spans="1:15">
      <c r="A309" s="14" t="s">
        <v>56</v>
      </c>
      <c r="B309" s="15" t="s">
        <v>2155</v>
      </c>
      <c r="C309" s="12" t="s">
        <v>2156</v>
      </c>
      <c r="D309" s="12" t="s">
        <v>2156</v>
      </c>
      <c r="E309" s="12" t="s">
        <v>2155</v>
      </c>
      <c r="F309" s="12"/>
      <c r="G309" s="12"/>
      <c r="H309" s="12"/>
      <c r="I309" s="15"/>
      <c r="J309" s="15"/>
      <c r="K309" s="15"/>
      <c r="L309" s="15"/>
      <c r="M309" s="13">
        <v>7224</v>
      </c>
      <c r="N309" s="12" t="s">
        <v>1721</v>
      </c>
      <c r="O309" s="5"/>
    </row>
    <row r="310" spans="1:15">
      <c r="A310" s="13"/>
      <c r="B310" s="13">
        <v>13591</v>
      </c>
      <c r="C310" s="13">
        <v>32776</v>
      </c>
      <c r="D310" s="13">
        <v>3286</v>
      </c>
      <c r="E310" s="13">
        <v>751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5"/>
    </row>
    <row r="311" spans="1: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5"/>
    </row>
    <row r="312" spans="1:15">
      <c r="A312" s="33" t="s">
        <v>1384</v>
      </c>
      <c r="B312" s="29" t="s">
        <v>2157</v>
      </c>
      <c r="C312" s="32" t="s">
        <v>2158</v>
      </c>
      <c r="D312" s="32" t="s">
        <v>2158</v>
      </c>
      <c r="E312" s="29"/>
      <c r="F312" s="29"/>
      <c r="G312" s="29"/>
      <c r="H312" s="29"/>
      <c r="I312" s="32"/>
      <c r="J312" s="32"/>
      <c r="K312" s="32"/>
      <c r="L312" s="29"/>
      <c r="M312" s="30">
        <v>7222</v>
      </c>
      <c r="N312" s="32" t="s">
        <v>2159</v>
      </c>
      <c r="O312" s="5"/>
    </row>
    <row r="313" spans="1:15">
      <c r="A313" s="30"/>
      <c r="B313" s="30">
        <v>13172</v>
      </c>
      <c r="C313" s="30">
        <v>31810</v>
      </c>
      <c r="D313" s="30">
        <v>2484</v>
      </c>
      <c r="E313" s="30"/>
      <c r="F313" s="30"/>
      <c r="G313" s="30"/>
      <c r="H313" s="30"/>
      <c r="I313" s="33"/>
      <c r="J313" s="33"/>
      <c r="K313" s="33"/>
      <c r="L313" s="30"/>
      <c r="M313" s="30"/>
      <c r="N313" s="30"/>
      <c r="O313" s="5"/>
    </row>
    <row r="314" spans="1:1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5"/>
    </row>
    <row r="315" spans="1:15" ht="17.25">
      <c r="A315" s="30" t="s">
        <v>2251</v>
      </c>
      <c r="B315" s="29" t="s">
        <v>2160</v>
      </c>
      <c r="C315" s="29" t="s">
        <v>1395</v>
      </c>
      <c r="D315" s="29" t="s">
        <v>1395</v>
      </c>
      <c r="E315" s="29" t="s">
        <v>1395</v>
      </c>
      <c r="F315" s="29" t="s">
        <v>2160</v>
      </c>
      <c r="G315" s="29"/>
      <c r="H315" s="30"/>
      <c r="I315" s="30"/>
      <c r="J315" s="29" t="s">
        <v>2007</v>
      </c>
      <c r="K315" s="30"/>
      <c r="L315" s="29"/>
      <c r="M315" s="30">
        <v>46</v>
      </c>
      <c r="N315" s="29" t="s">
        <v>1554</v>
      </c>
      <c r="O315" s="5"/>
    </row>
    <row r="316" spans="1:15">
      <c r="A316" s="30"/>
      <c r="B316" s="30">
        <v>2673</v>
      </c>
      <c r="C316" s="30">
        <v>7629</v>
      </c>
      <c r="D316" s="30">
        <v>468</v>
      </c>
      <c r="E316" s="30">
        <v>461</v>
      </c>
      <c r="F316" s="30">
        <v>161</v>
      </c>
      <c r="G316" s="30"/>
      <c r="H316" s="30"/>
      <c r="I316" s="30"/>
      <c r="J316" s="30">
        <v>735</v>
      </c>
      <c r="K316" s="30"/>
      <c r="L316" s="30"/>
      <c r="M316" s="30"/>
      <c r="N316" s="30"/>
      <c r="O316" s="5"/>
    </row>
    <row r="317" spans="1: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5"/>
    </row>
    <row r="318" spans="1:15">
      <c r="A318" s="14" t="s">
        <v>63</v>
      </c>
      <c r="B318" s="15" t="s">
        <v>190</v>
      </c>
      <c r="C318" s="15" t="s">
        <v>2161</v>
      </c>
      <c r="D318" s="15" t="s">
        <v>2161</v>
      </c>
      <c r="E318" s="15" t="s">
        <v>190</v>
      </c>
      <c r="F318" s="15" t="s">
        <v>190</v>
      </c>
      <c r="G318" s="15"/>
      <c r="H318" s="15"/>
      <c r="I318" s="15"/>
      <c r="J318" s="15" t="s">
        <v>1455</v>
      </c>
      <c r="K318" s="15"/>
      <c r="L318" s="15"/>
      <c r="M318" s="13">
        <v>3652</v>
      </c>
      <c r="N318" s="12" t="s">
        <v>208</v>
      </c>
      <c r="O318" s="5"/>
    </row>
    <row r="319" spans="1:15">
      <c r="A319" s="13"/>
      <c r="B319" s="13">
        <v>32591</v>
      </c>
      <c r="C319" s="13">
        <v>14998</v>
      </c>
      <c r="D319" s="13">
        <v>1823</v>
      </c>
      <c r="E319" s="13">
        <v>2545</v>
      </c>
      <c r="F319" s="13">
        <v>1235</v>
      </c>
      <c r="G319" s="13"/>
      <c r="H319" s="13"/>
      <c r="I319" s="13"/>
      <c r="J319" s="13">
        <v>1542</v>
      </c>
      <c r="K319" s="13"/>
      <c r="L319" s="13"/>
      <c r="M319" s="13"/>
      <c r="N319" s="13"/>
      <c r="O319" s="5"/>
    </row>
    <row r="320" spans="1: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5"/>
    </row>
    <row r="321" spans="1:15">
      <c r="A321" s="33" t="s">
        <v>70</v>
      </c>
      <c r="B321" s="29"/>
      <c r="C321" s="32" t="s">
        <v>2162</v>
      </c>
      <c r="D321" s="32" t="s">
        <v>2162</v>
      </c>
      <c r="E321" s="32"/>
      <c r="F321" s="32"/>
      <c r="G321" s="32"/>
      <c r="H321" s="32" t="s">
        <v>2163</v>
      </c>
      <c r="I321" s="29"/>
      <c r="J321" s="29"/>
      <c r="K321" s="29"/>
      <c r="L321" s="29"/>
      <c r="M321" s="30">
        <v>21628</v>
      </c>
      <c r="N321" s="32" t="s">
        <v>2164</v>
      </c>
      <c r="O321" s="5"/>
    </row>
    <row r="322" spans="1:15">
      <c r="A322" s="30"/>
      <c r="B322" s="30"/>
      <c r="C322" s="30">
        <v>32693</v>
      </c>
      <c r="D322" s="30">
        <v>3825</v>
      </c>
      <c r="E322" s="30"/>
      <c r="F322" s="30"/>
      <c r="G322" s="30"/>
      <c r="H322" s="30">
        <v>3282</v>
      </c>
      <c r="I322" s="30"/>
      <c r="J322" s="30"/>
      <c r="K322" s="30"/>
      <c r="L322" s="30"/>
      <c r="M322" s="30"/>
      <c r="N322" s="30"/>
      <c r="O322" s="5"/>
    </row>
    <row r="323" spans="1: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5"/>
    </row>
    <row r="324" spans="1:15">
      <c r="A324" s="14" t="s">
        <v>78</v>
      </c>
      <c r="B324" s="15" t="s">
        <v>2165</v>
      </c>
      <c r="C324" s="12" t="s">
        <v>2166</v>
      </c>
      <c r="D324" s="12" t="s">
        <v>2166</v>
      </c>
      <c r="E324" s="12" t="s">
        <v>2166</v>
      </c>
      <c r="F324" s="15" t="s">
        <v>2165</v>
      </c>
      <c r="G324" s="12"/>
      <c r="H324" s="12"/>
      <c r="I324" s="15"/>
      <c r="J324" s="15" t="s">
        <v>2266</v>
      </c>
      <c r="K324" s="15"/>
      <c r="L324" s="15"/>
      <c r="M324" s="13">
        <v>5694</v>
      </c>
      <c r="N324" s="12" t="s">
        <v>880</v>
      </c>
      <c r="O324" s="5"/>
    </row>
    <row r="325" spans="1:15">
      <c r="A325" s="13"/>
      <c r="B325" s="13">
        <v>12980</v>
      </c>
      <c r="C325" s="13">
        <v>33388</v>
      </c>
      <c r="D325" s="13">
        <v>2024</v>
      </c>
      <c r="E325" s="13">
        <v>2375</v>
      </c>
      <c r="F325" s="13">
        <v>301</v>
      </c>
      <c r="G325" s="13"/>
      <c r="H325" s="13"/>
      <c r="I325" s="13"/>
      <c r="J325" s="13">
        <v>694</v>
      </c>
      <c r="K325" s="13"/>
      <c r="L325" s="13"/>
      <c r="M325" s="13"/>
      <c r="N325" s="13"/>
      <c r="O325" s="5"/>
    </row>
    <row r="326" spans="1: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5"/>
    </row>
    <row r="327" spans="1:15">
      <c r="A327" s="33" t="s">
        <v>84</v>
      </c>
      <c r="B327" s="29" t="s">
        <v>1203</v>
      </c>
      <c r="C327" s="32" t="s">
        <v>2167</v>
      </c>
      <c r="D327" s="29" t="s">
        <v>2167</v>
      </c>
      <c r="E327" s="29" t="s">
        <v>1205</v>
      </c>
      <c r="F327" s="29" t="s">
        <v>1205</v>
      </c>
      <c r="G327" s="29"/>
      <c r="H327" s="29" t="s">
        <v>1205</v>
      </c>
      <c r="I327" s="29" t="s">
        <v>2167</v>
      </c>
      <c r="J327" s="29"/>
      <c r="K327" s="29"/>
      <c r="L327" s="29"/>
      <c r="M327" s="30">
        <v>6996</v>
      </c>
      <c r="N327" s="32" t="s">
        <v>1207</v>
      </c>
      <c r="O327" s="5"/>
    </row>
    <row r="328" spans="1:15">
      <c r="A328" s="30"/>
      <c r="B328" s="30">
        <v>36189</v>
      </c>
      <c r="C328" s="30">
        <v>10400</v>
      </c>
      <c r="D328" s="30">
        <v>745</v>
      </c>
      <c r="E328" s="30">
        <v>1397</v>
      </c>
      <c r="F328" s="30">
        <v>1681</v>
      </c>
      <c r="G328" s="30"/>
      <c r="H328" s="30">
        <v>700</v>
      </c>
      <c r="I328" s="30">
        <v>474</v>
      </c>
      <c r="J328" s="30"/>
      <c r="K328" s="30"/>
      <c r="L328" s="30"/>
      <c r="M328" s="30"/>
      <c r="N328" s="30"/>
      <c r="O328" s="5"/>
    </row>
    <row r="329" spans="1: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5"/>
    </row>
    <row r="330" spans="1:15">
      <c r="A330" s="14" t="s">
        <v>89</v>
      </c>
      <c r="B330" s="15" t="s">
        <v>1545</v>
      </c>
      <c r="C330" s="12" t="s">
        <v>2168</v>
      </c>
      <c r="D330" s="12" t="s">
        <v>2168</v>
      </c>
      <c r="E330" s="15" t="s">
        <v>1547</v>
      </c>
      <c r="F330" s="15" t="s">
        <v>1547</v>
      </c>
      <c r="G330" s="15"/>
      <c r="H330" s="15" t="s">
        <v>1547</v>
      </c>
      <c r="I330" s="15"/>
      <c r="J330" s="15"/>
      <c r="K330" s="15"/>
      <c r="L330" s="15" t="s">
        <v>2169</v>
      </c>
      <c r="M330" s="13">
        <v>5250</v>
      </c>
      <c r="N330" s="12" t="s">
        <v>1548</v>
      </c>
      <c r="O330" s="5"/>
    </row>
    <row r="331" spans="1:15">
      <c r="A331" s="13"/>
      <c r="B331" s="13">
        <v>29807</v>
      </c>
      <c r="C331" s="13">
        <v>12258</v>
      </c>
      <c r="D331" s="13">
        <v>1431</v>
      </c>
      <c r="E331" s="13">
        <v>2237</v>
      </c>
      <c r="F331" s="13">
        <v>427</v>
      </c>
      <c r="G331" s="13"/>
      <c r="H331" s="13">
        <v>859</v>
      </c>
      <c r="I331" s="13"/>
      <c r="J331" s="13"/>
      <c r="K331" s="13"/>
      <c r="L331" s="13">
        <v>660</v>
      </c>
      <c r="M331" s="13"/>
      <c r="N331" s="13"/>
      <c r="O331" s="5"/>
    </row>
    <row r="332" spans="1: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>
      <c r="A333" s="33" t="s">
        <v>96</v>
      </c>
      <c r="B333" s="29" t="s">
        <v>1211</v>
      </c>
      <c r="C333" s="32" t="s">
        <v>2170</v>
      </c>
      <c r="D333" s="32"/>
      <c r="E333" s="32" t="s">
        <v>1212</v>
      </c>
      <c r="F333" s="32"/>
      <c r="G333" s="32"/>
      <c r="H333" s="29"/>
      <c r="I333" s="32" t="s">
        <v>2170</v>
      </c>
      <c r="J333" s="32"/>
      <c r="K333" s="32"/>
      <c r="L333" s="29"/>
      <c r="M333" s="30">
        <v>6357</v>
      </c>
      <c r="N333" s="32" t="s">
        <v>1213</v>
      </c>
      <c r="O333" s="5"/>
    </row>
    <row r="334" spans="1:15">
      <c r="A334" s="30"/>
      <c r="B334" s="30">
        <v>27384</v>
      </c>
      <c r="C334" s="30">
        <v>7979</v>
      </c>
      <c r="D334" s="30"/>
      <c r="E334" s="30">
        <v>2089</v>
      </c>
      <c r="F334" s="30"/>
      <c r="G334" s="30"/>
      <c r="H334" s="30"/>
      <c r="I334" s="30">
        <v>657</v>
      </c>
      <c r="J334" s="30"/>
      <c r="K334" s="30"/>
      <c r="L334" s="30"/>
      <c r="M334" s="30"/>
      <c r="N334" s="30"/>
      <c r="O334" s="5"/>
    </row>
    <row r="335" spans="1: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5"/>
    </row>
    <row r="336" spans="1:15">
      <c r="A336" s="14" t="s">
        <v>99</v>
      </c>
      <c r="B336" s="15" t="s">
        <v>2171</v>
      </c>
      <c r="C336" s="12" t="s">
        <v>2172</v>
      </c>
      <c r="D336" s="12" t="s">
        <v>2172</v>
      </c>
      <c r="E336" s="12" t="s">
        <v>2171</v>
      </c>
      <c r="F336" s="12" t="s">
        <v>2171</v>
      </c>
      <c r="G336" s="12"/>
      <c r="H336" s="12" t="s">
        <v>2171</v>
      </c>
      <c r="I336" s="5"/>
      <c r="J336" s="10" t="s">
        <v>2267</v>
      </c>
      <c r="K336" s="5"/>
      <c r="L336" s="15" t="s">
        <v>2173</v>
      </c>
      <c r="M336" s="13">
        <v>5225</v>
      </c>
      <c r="N336" s="12" t="s">
        <v>1925</v>
      </c>
      <c r="O336" s="5"/>
    </row>
    <row r="337" spans="1:15">
      <c r="A337" s="13"/>
      <c r="B337" s="13">
        <v>27330</v>
      </c>
      <c r="C337" s="13">
        <v>31038</v>
      </c>
      <c r="D337" s="13">
        <v>2016</v>
      </c>
      <c r="E337" s="13">
        <v>1697</v>
      </c>
      <c r="F337" s="13">
        <v>478</v>
      </c>
      <c r="G337" s="13"/>
      <c r="H337" s="14">
        <v>566</v>
      </c>
      <c r="I337" s="13"/>
      <c r="J337" s="13">
        <v>773</v>
      </c>
      <c r="K337" s="13"/>
      <c r="L337" s="13">
        <v>446</v>
      </c>
      <c r="M337" s="13"/>
      <c r="N337" s="13"/>
      <c r="O337" s="5"/>
    </row>
    <row r="338" spans="1: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5"/>
    </row>
    <row r="339" spans="1:15">
      <c r="A339" s="33" t="s">
        <v>111</v>
      </c>
      <c r="B339" s="29"/>
      <c r="C339" s="32" t="s">
        <v>1724</v>
      </c>
      <c r="D339" s="32" t="s">
        <v>1724</v>
      </c>
      <c r="E339" s="32" t="s">
        <v>2174</v>
      </c>
      <c r="F339" s="32" t="s">
        <v>2268</v>
      </c>
      <c r="G339" s="32"/>
      <c r="H339" s="29"/>
      <c r="I339" s="32" t="s">
        <v>1724</v>
      </c>
      <c r="J339" s="32" t="s">
        <v>2268</v>
      </c>
      <c r="K339" s="32"/>
      <c r="L339" s="29"/>
      <c r="M339" s="30">
        <v>15275</v>
      </c>
      <c r="N339" s="32" t="s">
        <v>1725</v>
      </c>
      <c r="O339" s="5"/>
    </row>
    <row r="340" spans="1:15">
      <c r="A340" s="30"/>
      <c r="B340" s="30"/>
      <c r="C340" s="30">
        <v>30260</v>
      </c>
      <c r="D340" s="30">
        <v>2899</v>
      </c>
      <c r="E340" s="30">
        <v>3900</v>
      </c>
      <c r="F340" s="30">
        <v>1257</v>
      </c>
      <c r="G340" s="30"/>
      <c r="H340" s="30"/>
      <c r="I340" s="30">
        <v>1334</v>
      </c>
      <c r="J340" s="30">
        <v>3739</v>
      </c>
      <c r="K340" s="30"/>
      <c r="L340" s="30"/>
      <c r="M340" s="30"/>
      <c r="N340" s="30"/>
      <c r="O340" s="5"/>
    </row>
    <row r="341" spans="1: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5"/>
    </row>
    <row r="342" spans="1:15">
      <c r="A342" s="14" t="s">
        <v>119</v>
      </c>
      <c r="B342" s="15"/>
      <c r="C342" s="12" t="s">
        <v>2175</v>
      </c>
      <c r="D342" s="12" t="s">
        <v>2175</v>
      </c>
      <c r="E342" s="12"/>
      <c r="F342" s="12"/>
      <c r="G342" s="12"/>
      <c r="H342" s="15"/>
      <c r="I342" s="15"/>
      <c r="J342" s="15"/>
      <c r="K342" s="15"/>
      <c r="L342" s="15"/>
      <c r="M342" s="13">
        <v>18251</v>
      </c>
      <c r="N342" s="12" t="s">
        <v>2176</v>
      </c>
      <c r="O342" s="5"/>
    </row>
    <row r="343" spans="1:15">
      <c r="A343" s="13"/>
      <c r="B343" s="13"/>
      <c r="C343" s="13">
        <v>35762</v>
      </c>
      <c r="D343" s="13">
        <v>3496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5"/>
    </row>
    <row r="344" spans="1: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5"/>
    </row>
    <row r="345" spans="1:15">
      <c r="A345" s="33" t="s">
        <v>127</v>
      </c>
      <c r="B345" s="29" t="s">
        <v>1632</v>
      </c>
      <c r="C345" s="32" t="s">
        <v>2177</v>
      </c>
      <c r="D345" s="32" t="s">
        <v>2177</v>
      </c>
      <c r="E345" s="32"/>
      <c r="F345" s="29" t="s">
        <v>1632</v>
      </c>
      <c r="G345" s="32"/>
      <c r="H345" s="29" t="s">
        <v>1632</v>
      </c>
      <c r="I345" s="29"/>
      <c r="J345" s="29"/>
      <c r="K345" s="29"/>
      <c r="L345" s="29"/>
      <c r="M345" s="30">
        <v>3806</v>
      </c>
      <c r="N345" s="32" t="s">
        <v>1731</v>
      </c>
      <c r="O345" s="5"/>
    </row>
    <row r="346" spans="1:15">
      <c r="A346" s="30"/>
      <c r="B346" s="30">
        <v>12630</v>
      </c>
      <c r="C346" s="30">
        <v>24623</v>
      </c>
      <c r="D346" s="30">
        <v>1734</v>
      </c>
      <c r="E346" s="30"/>
      <c r="F346" s="30">
        <v>275</v>
      </c>
      <c r="G346" s="30"/>
      <c r="H346" s="30">
        <v>513</v>
      </c>
      <c r="I346" s="30"/>
      <c r="J346" s="30"/>
      <c r="K346" s="30"/>
      <c r="L346" s="30"/>
      <c r="M346" s="30"/>
      <c r="N346" s="30"/>
      <c r="O346" s="5"/>
    </row>
    <row r="347" spans="1: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5"/>
    </row>
    <row r="348" spans="1:15">
      <c r="A348" s="14" t="s">
        <v>131</v>
      </c>
      <c r="B348" s="15" t="s">
        <v>1219</v>
      </c>
      <c r="C348" s="12" t="s">
        <v>2178</v>
      </c>
      <c r="D348" s="12"/>
      <c r="E348" s="12" t="s">
        <v>382</v>
      </c>
      <c r="F348" s="12"/>
      <c r="G348" s="12"/>
      <c r="H348" s="15"/>
      <c r="I348" s="15"/>
      <c r="J348" s="15"/>
      <c r="K348" s="15"/>
      <c r="L348" s="12"/>
      <c r="M348" s="13">
        <v>11118</v>
      </c>
      <c r="N348" s="12" t="s">
        <v>132</v>
      </c>
      <c r="O348" s="5"/>
    </row>
    <row r="349" spans="1:15">
      <c r="A349" s="13"/>
      <c r="B349" s="13">
        <v>24445</v>
      </c>
      <c r="C349" s="13">
        <v>12670</v>
      </c>
      <c r="D349" s="13"/>
      <c r="E349" s="13">
        <v>3638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5"/>
    </row>
    <row r="350" spans="1: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5"/>
    </row>
    <row r="351" spans="1:15">
      <c r="A351" s="33" t="s">
        <v>137</v>
      </c>
      <c r="B351" s="29"/>
      <c r="C351" s="32" t="s">
        <v>1403</v>
      </c>
      <c r="D351" s="32" t="s">
        <v>1403</v>
      </c>
      <c r="E351" s="32" t="s">
        <v>1403</v>
      </c>
      <c r="F351" s="32" t="s">
        <v>1403</v>
      </c>
      <c r="G351" s="32"/>
      <c r="H351" s="29"/>
      <c r="I351" s="29"/>
      <c r="J351" s="29" t="s">
        <v>2269</v>
      </c>
      <c r="K351" s="29"/>
      <c r="L351" s="29" t="s">
        <v>2180</v>
      </c>
      <c r="M351" s="30">
        <v>12795</v>
      </c>
      <c r="N351" s="32" t="s">
        <v>2179</v>
      </c>
      <c r="O351" s="5"/>
    </row>
    <row r="352" spans="1:15">
      <c r="A352" s="30"/>
      <c r="B352" s="30"/>
      <c r="C352" s="30">
        <v>24243</v>
      </c>
      <c r="D352" s="30">
        <v>1590</v>
      </c>
      <c r="E352" s="30">
        <v>2560</v>
      </c>
      <c r="F352" s="30">
        <v>506</v>
      </c>
      <c r="G352" s="30"/>
      <c r="H352" s="30"/>
      <c r="I352" s="30"/>
      <c r="J352" s="30">
        <v>1536</v>
      </c>
      <c r="K352" s="30"/>
      <c r="L352" s="30">
        <v>246</v>
      </c>
      <c r="M352" s="30"/>
      <c r="N352" s="30"/>
      <c r="O352" s="5"/>
    </row>
    <row r="353" spans="1: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5"/>
    </row>
    <row r="354" spans="1:15">
      <c r="A354" s="14" t="s">
        <v>146</v>
      </c>
      <c r="B354" s="15"/>
      <c r="C354" s="12" t="s">
        <v>2181</v>
      </c>
      <c r="D354" s="12" t="s">
        <v>2181</v>
      </c>
      <c r="E354" s="12"/>
      <c r="F354" s="12"/>
      <c r="G354" s="12"/>
      <c r="H354" s="15"/>
      <c r="I354" s="15"/>
      <c r="J354" s="15"/>
      <c r="K354" s="15"/>
      <c r="L354" s="15"/>
      <c r="M354" s="13">
        <v>19479</v>
      </c>
      <c r="N354" s="12" t="s">
        <v>441</v>
      </c>
      <c r="O354" s="5"/>
    </row>
    <row r="355" spans="1:15">
      <c r="A355" s="13"/>
      <c r="B355" s="13"/>
      <c r="C355" s="13">
        <v>31081</v>
      </c>
      <c r="D355" s="13">
        <v>3129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5"/>
    </row>
    <row r="356" spans="1: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5"/>
    </row>
    <row r="357" spans="1:15">
      <c r="A357" s="33" t="s">
        <v>151</v>
      </c>
      <c r="B357" s="29" t="s">
        <v>1558</v>
      </c>
      <c r="C357" s="32" t="s">
        <v>2182</v>
      </c>
      <c r="D357" s="32" t="s">
        <v>2183</v>
      </c>
      <c r="E357" s="32" t="s">
        <v>1558</v>
      </c>
      <c r="F357" s="29" t="s">
        <v>1558</v>
      </c>
      <c r="G357" s="32"/>
      <c r="H357" s="29"/>
      <c r="I357" s="29"/>
      <c r="J357" s="29" t="s">
        <v>1558</v>
      </c>
      <c r="K357" s="29"/>
      <c r="L357" s="29" t="s">
        <v>2185</v>
      </c>
      <c r="M357" s="30">
        <v>1513</v>
      </c>
      <c r="N357" s="32" t="s">
        <v>2184</v>
      </c>
      <c r="O357" s="5"/>
    </row>
    <row r="358" spans="1:15">
      <c r="A358" s="30"/>
      <c r="B358" s="30">
        <v>14935</v>
      </c>
      <c r="C358" s="30">
        <v>20101</v>
      </c>
      <c r="D358" s="30">
        <v>332</v>
      </c>
      <c r="E358" s="30">
        <v>1258</v>
      </c>
      <c r="F358" s="30">
        <v>228</v>
      </c>
      <c r="G358" s="30"/>
      <c r="H358" s="30"/>
      <c r="I358" s="30"/>
      <c r="J358" s="30">
        <v>293</v>
      </c>
      <c r="K358" s="30"/>
      <c r="L358" s="30">
        <v>332</v>
      </c>
      <c r="M358" s="30"/>
      <c r="N358" s="30"/>
      <c r="O358" s="5"/>
    </row>
    <row r="359" spans="1:1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29" t="s">
        <v>2186</v>
      </c>
      <c r="M359" s="30"/>
      <c r="N359" s="30"/>
      <c r="O359" s="5"/>
    </row>
    <row r="360" spans="1:1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>
        <v>683</v>
      </c>
      <c r="M360" s="30"/>
      <c r="N360" s="30"/>
      <c r="O360" s="5"/>
    </row>
    <row r="361" spans="1: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5"/>
    </row>
    <row r="362" spans="1:15">
      <c r="A362" s="14" t="s">
        <v>157</v>
      </c>
      <c r="B362" s="15"/>
      <c r="C362" s="12" t="s">
        <v>1392</v>
      </c>
      <c r="D362" s="12" t="s">
        <v>1392</v>
      </c>
      <c r="E362" s="12" t="s">
        <v>1392</v>
      </c>
      <c r="F362" s="12" t="s">
        <v>1392</v>
      </c>
      <c r="G362" s="12"/>
      <c r="H362" s="15"/>
      <c r="I362" s="15"/>
      <c r="J362" s="15"/>
      <c r="K362" s="15"/>
      <c r="L362" s="12"/>
      <c r="M362" s="13">
        <v>17441</v>
      </c>
      <c r="N362" s="12" t="s">
        <v>1394</v>
      </c>
      <c r="O362" s="5"/>
    </row>
    <row r="363" spans="1:15">
      <c r="A363" s="13"/>
      <c r="B363" s="13"/>
      <c r="C363" s="13">
        <v>31766</v>
      </c>
      <c r="D363" s="13">
        <v>3014</v>
      </c>
      <c r="E363" s="13">
        <v>2779</v>
      </c>
      <c r="F363" s="13">
        <v>521</v>
      </c>
      <c r="G363" s="13"/>
      <c r="H363" s="13"/>
      <c r="I363" s="13"/>
      <c r="J363" s="13"/>
      <c r="K363" s="13"/>
      <c r="L363" s="13"/>
      <c r="M363" s="13"/>
      <c r="N363" s="13"/>
      <c r="O363" s="5"/>
    </row>
    <row r="364" spans="1: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5"/>
    </row>
    <row r="365" spans="1:15">
      <c r="A365" s="33" t="s">
        <v>165</v>
      </c>
      <c r="B365" s="29" t="s">
        <v>1225</v>
      </c>
      <c r="C365" s="32"/>
      <c r="D365" s="32"/>
      <c r="E365" s="32" t="s">
        <v>1226</v>
      </c>
      <c r="F365" s="32" t="s">
        <v>1226</v>
      </c>
      <c r="G365" s="32"/>
      <c r="H365" s="29"/>
      <c r="I365" s="32" t="s">
        <v>2187</v>
      </c>
      <c r="J365" s="32"/>
      <c r="K365" s="32"/>
      <c r="L365" s="29"/>
      <c r="M365" s="30">
        <v>11450</v>
      </c>
      <c r="N365" s="32" t="s">
        <v>1227</v>
      </c>
      <c r="O365" s="5"/>
    </row>
    <row r="366" spans="1:15">
      <c r="A366" s="30"/>
      <c r="B366" s="30">
        <v>17512</v>
      </c>
      <c r="C366" s="30"/>
      <c r="D366" s="30"/>
      <c r="E366" s="30">
        <v>2197</v>
      </c>
      <c r="F366" s="30">
        <v>523</v>
      </c>
      <c r="G366" s="30"/>
      <c r="H366" s="30"/>
      <c r="I366" s="30">
        <v>2502</v>
      </c>
      <c r="J366" s="30"/>
      <c r="K366" s="30"/>
      <c r="L366" s="30"/>
      <c r="M366" s="30"/>
      <c r="N366" s="30"/>
      <c r="O366" s="5"/>
    </row>
    <row r="367" spans="1: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5"/>
    </row>
    <row r="368" spans="1:15">
      <c r="A368" s="14" t="s">
        <v>169</v>
      </c>
      <c r="B368" s="15" t="s">
        <v>2188</v>
      </c>
      <c r="C368" s="12" t="s">
        <v>2107</v>
      </c>
      <c r="D368" s="15" t="s">
        <v>2188</v>
      </c>
      <c r="E368" s="15"/>
      <c r="F368" s="15"/>
      <c r="G368" s="15"/>
      <c r="H368" s="15"/>
      <c r="I368" s="15"/>
      <c r="J368" s="15"/>
      <c r="K368" s="15"/>
      <c r="L368" s="12" t="s">
        <v>2189</v>
      </c>
      <c r="M368" s="13">
        <v>4413</v>
      </c>
      <c r="N368" s="12" t="s">
        <v>2190</v>
      </c>
      <c r="O368" s="5"/>
    </row>
    <row r="369" spans="1:15">
      <c r="A369" s="13"/>
      <c r="B369" s="13">
        <v>15398</v>
      </c>
      <c r="C369" s="13">
        <v>26768</v>
      </c>
      <c r="D369" s="13">
        <v>1788</v>
      </c>
      <c r="E369" s="13"/>
      <c r="F369" s="13"/>
      <c r="G369" s="13"/>
      <c r="H369" s="13"/>
      <c r="I369" s="13"/>
      <c r="J369" s="13"/>
      <c r="K369" s="13"/>
      <c r="L369" s="13">
        <v>662</v>
      </c>
      <c r="M369" s="13"/>
      <c r="N369" s="13"/>
      <c r="O369" s="5"/>
    </row>
    <row r="370" spans="1: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5"/>
    </row>
    <row r="371" spans="1:15">
      <c r="A371" s="33" t="s">
        <v>175</v>
      </c>
      <c r="B371" s="29" t="s">
        <v>2191</v>
      </c>
      <c r="C371" s="32"/>
      <c r="D371" s="32"/>
      <c r="E371" s="32" t="s">
        <v>2192</v>
      </c>
      <c r="F371" s="32" t="s">
        <v>2192</v>
      </c>
      <c r="G371" s="32"/>
      <c r="H371" s="29"/>
      <c r="I371" s="32"/>
      <c r="J371" s="32"/>
      <c r="K371" s="32"/>
      <c r="L371" s="29" t="s">
        <v>2194</v>
      </c>
      <c r="M371" s="30">
        <v>16897</v>
      </c>
      <c r="N371" s="32" t="s">
        <v>2193</v>
      </c>
      <c r="O371" s="5"/>
    </row>
    <row r="372" spans="1:15">
      <c r="A372" s="30"/>
      <c r="B372" s="30">
        <v>33386</v>
      </c>
      <c r="C372" s="30"/>
      <c r="D372" s="30"/>
      <c r="E372" s="30">
        <v>3489</v>
      </c>
      <c r="F372" s="30">
        <v>1337</v>
      </c>
      <c r="G372" s="30"/>
      <c r="H372" s="30"/>
      <c r="I372" s="30"/>
      <c r="J372" s="30"/>
      <c r="K372" s="30"/>
      <c r="L372" s="30">
        <v>561</v>
      </c>
      <c r="M372" s="30"/>
      <c r="N372" s="30"/>
      <c r="O372" s="5"/>
    </row>
    <row r="373" spans="1:1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5"/>
    </row>
    <row r="374" spans="1:15" ht="17.25">
      <c r="A374" s="30" t="s">
        <v>2252</v>
      </c>
      <c r="B374" s="29" t="s">
        <v>2195</v>
      </c>
      <c r="C374" s="29" t="s">
        <v>1933</v>
      </c>
      <c r="D374" s="29" t="s">
        <v>2195</v>
      </c>
      <c r="E374" s="29" t="s">
        <v>2195</v>
      </c>
      <c r="F374" s="29" t="s">
        <v>2195</v>
      </c>
      <c r="G374" s="29"/>
      <c r="H374" s="30"/>
      <c r="I374" s="30"/>
      <c r="J374" s="30"/>
      <c r="K374" s="30"/>
      <c r="L374" s="29"/>
      <c r="M374" s="30">
        <v>27</v>
      </c>
      <c r="N374" s="29" t="s">
        <v>2196</v>
      </c>
      <c r="O374" s="5"/>
    </row>
    <row r="375" spans="1:15">
      <c r="A375" s="30"/>
      <c r="B375" s="30">
        <v>5957</v>
      </c>
      <c r="C375" s="30">
        <v>8684</v>
      </c>
      <c r="D375" s="30">
        <v>363</v>
      </c>
      <c r="E375" s="30">
        <v>510</v>
      </c>
      <c r="F375" s="30">
        <v>342</v>
      </c>
      <c r="G375" s="30"/>
      <c r="H375" s="30"/>
      <c r="I375" s="30"/>
      <c r="J375" s="30"/>
      <c r="K375" s="30"/>
      <c r="L375" s="30"/>
      <c r="M375" s="30"/>
      <c r="N375" s="30"/>
      <c r="O375" s="5"/>
    </row>
    <row r="376" spans="1: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5"/>
    </row>
    <row r="377" spans="1:15">
      <c r="A377" s="14" t="s">
        <v>178</v>
      </c>
      <c r="B377" s="15" t="s">
        <v>1397</v>
      </c>
      <c r="C377" s="12" t="s">
        <v>1378</v>
      </c>
      <c r="D377" s="12" t="s">
        <v>1378</v>
      </c>
      <c r="E377" s="12" t="s">
        <v>1378</v>
      </c>
      <c r="F377" s="12" t="s">
        <v>1399</v>
      </c>
      <c r="G377" s="12"/>
      <c r="H377" s="15"/>
      <c r="I377" s="15"/>
      <c r="J377" s="15" t="s">
        <v>2270</v>
      </c>
      <c r="K377" s="15"/>
      <c r="L377" s="12"/>
      <c r="M377" s="13">
        <v>4927</v>
      </c>
      <c r="N377" s="12" t="s">
        <v>1400</v>
      </c>
      <c r="O377" s="5"/>
    </row>
    <row r="378" spans="1:15">
      <c r="A378" s="13"/>
      <c r="B378" s="13">
        <v>24094</v>
      </c>
      <c r="C378" s="13">
        <v>10237</v>
      </c>
      <c r="D378" s="13">
        <v>917</v>
      </c>
      <c r="E378" s="13">
        <v>768</v>
      </c>
      <c r="F378" s="13">
        <v>876</v>
      </c>
      <c r="G378" s="13"/>
      <c r="H378" s="13"/>
      <c r="I378" s="13"/>
      <c r="J378" s="13">
        <v>771</v>
      </c>
      <c r="K378" s="13"/>
      <c r="L378" s="13"/>
      <c r="M378" s="13"/>
      <c r="N378" s="13"/>
      <c r="O378" s="5"/>
    </row>
    <row r="379" spans="1: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5"/>
    </row>
    <row r="380" spans="1:15">
      <c r="A380" s="30" t="s">
        <v>180</v>
      </c>
      <c r="B380" s="29" t="s">
        <v>191</v>
      </c>
      <c r="C380" s="29" t="s">
        <v>2197</v>
      </c>
      <c r="D380" s="29" t="s">
        <v>2197</v>
      </c>
      <c r="E380" s="29" t="s">
        <v>2197</v>
      </c>
      <c r="F380" s="29" t="s">
        <v>191</v>
      </c>
      <c r="G380" s="29"/>
      <c r="H380" s="29"/>
      <c r="I380" s="29"/>
      <c r="J380" s="29"/>
      <c r="K380" s="29"/>
      <c r="L380" s="29" t="s">
        <v>1936</v>
      </c>
      <c r="M380" s="30">
        <v>3175</v>
      </c>
      <c r="N380" s="32" t="s">
        <v>192</v>
      </c>
      <c r="O380" s="5"/>
    </row>
    <row r="381" spans="1:15">
      <c r="A381" s="33"/>
      <c r="B381" s="30">
        <v>20507</v>
      </c>
      <c r="C381" s="30">
        <v>15125</v>
      </c>
      <c r="D381" s="30">
        <v>1249</v>
      </c>
      <c r="E381" s="30">
        <v>1701</v>
      </c>
      <c r="F381" s="30">
        <v>675</v>
      </c>
      <c r="G381" s="30"/>
      <c r="H381" s="30"/>
      <c r="I381" s="30"/>
      <c r="J381" s="30"/>
      <c r="K381" s="30"/>
      <c r="L381" s="30">
        <v>161</v>
      </c>
      <c r="M381" s="30"/>
      <c r="N381" s="30"/>
      <c r="O381" s="5"/>
    </row>
    <row r="382" spans="1:15">
      <c r="A382" s="14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5"/>
    </row>
    <row r="383" spans="1:15">
      <c r="A383" s="13" t="s">
        <v>182</v>
      </c>
      <c r="B383" s="15" t="s">
        <v>1816</v>
      </c>
      <c r="C383" s="12" t="s">
        <v>2198</v>
      </c>
      <c r="D383" s="12" t="s">
        <v>2198</v>
      </c>
      <c r="E383" s="12" t="s">
        <v>2199</v>
      </c>
      <c r="F383" s="15" t="s">
        <v>1816</v>
      </c>
      <c r="G383" s="12"/>
      <c r="H383" s="12"/>
      <c r="I383" s="15"/>
      <c r="J383" s="15"/>
      <c r="K383" s="15"/>
      <c r="L383" s="15" t="s">
        <v>2201</v>
      </c>
      <c r="M383" s="13">
        <v>7809</v>
      </c>
      <c r="N383" s="12" t="s">
        <v>2200</v>
      </c>
      <c r="O383" s="5"/>
    </row>
    <row r="384" spans="1:15">
      <c r="A384" s="13"/>
      <c r="B384" s="13">
        <v>20405</v>
      </c>
      <c r="C384" s="13">
        <v>31279</v>
      </c>
      <c r="D384" s="13">
        <v>2159</v>
      </c>
      <c r="E384" s="13">
        <v>1904</v>
      </c>
      <c r="F384" s="13">
        <v>752</v>
      </c>
      <c r="G384" s="13"/>
      <c r="H384" s="13"/>
      <c r="I384" s="13"/>
      <c r="J384" s="13"/>
      <c r="K384" s="13"/>
      <c r="L384" s="13">
        <v>254</v>
      </c>
      <c r="M384" s="13"/>
      <c r="N384" s="13"/>
      <c r="O384" s="5"/>
    </row>
    <row r="385" spans="1: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5"/>
    </row>
    <row r="386" spans="1:15">
      <c r="A386" s="33" t="s">
        <v>183</v>
      </c>
      <c r="B386" s="29"/>
      <c r="C386" s="32" t="s">
        <v>2202</v>
      </c>
      <c r="D386" s="32"/>
      <c r="E386" s="32"/>
      <c r="F386" s="32"/>
      <c r="G386" s="32"/>
      <c r="H386" s="29"/>
      <c r="I386" s="32"/>
      <c r="J386" s="32"/>
      <c r="K386" s="32"/>
      <c r="L386" s="29"/>
      <c r="M386" s="30">
        <v>13281</v>
      </c>
      <c r="N386" s="32" t="s">
        <v>240</v>
      </c>
      <c r="O386" s="5"/>
    </row>
    <row r="387" spans="1:15">
      <c r="A387" s="30"/>
      <c r="B387" s="30"/>
      <c r="C387" s="30">
        <v>32386</v>
      </c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5"/>
    </row>
    <row r="388" spans="1: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5"/>
    </row>
    <row r="389" spans="1:15">
      <c r="A389" s="13" t="s">
        <v>184</v>
      </c>
      <c r="B389" s="15"/>
      <c r="C389" s="15" t="s">
        <v>2203</v>
      </c>
      <c r="D389" s="15" t="s">
        <v>2203</v>
      </c>
      <c r="E389" s="15" t="s">
        <v>1566</v>
      </c>
      <c r="F389" s="15"/>
      <c r="G389" s="15"/>
      <c r="H389" s="15"/>
      <c r="I389" s="15"/>
      <c r="J389" s="15"/>
      <c r="K389" s="15"/>
      <c r="L389" s="15"/>
      <c r="M389" s="13">
        <v>16285</v>
      </c>
      <c r="N389" s="12" t="s">
        <v>2204</v>
      </c>
      <c r="O389" s="5"/>
    </row>
    <row r="390" spans="1:15">
      <c r="A390" s="13"/>
      <c r="B390" s="13"/>
      <c r="C390" s="13">
        <v>33079</v>
      </c>
      <c r="D390" s="13">
        <v>1788</v>
      </c>
      <c r="E390" s="13">
        <v>2448</v>
      </c>
      <c r="F390" s="13"/>
      <c r="G390" s="13"/>
      <c r="H390" s="13"/>
      <c r="I390" s="13"/>
      <c r="J390" s="13"/>
      <c r="K390" s="13"/>
      <c r="L390" s="13"/>
      <c r="M390" s="13"/>
      <c r="N390" s="13"/>
      <c r="O390" s="5"/>
    </row>
    <row r="391" spans="1: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5"/>
    </row>
    <row r="392" spans="1:15">
      <c r="A392" s="30" t="s">
        <v>185</v>
      </c>
      <c r="B392" s="29"/>
      <c r="C392" s="29" t="s">
        <v>2205</v>
      </c>
      <c r="D392" s="29" t="s">
        <v>2205</v>
      </c>
      <c r="E392" s="29" t="s">
        <v>2206</v>
      </c>
      <c r="F392" s="29"/>
      <c r="G392" s="29"/>
      <c r="H392" s="29"/>
      <c r="I392" s="29"/>
      <c r="J392" s="29"/>
      <c r="K392" s="29"/>
      <c r="L392" s="29"/>
      <c r="M392" s="30">
        <v>17178</v>
      </c>
      <c r="N392" s="32" t="s">
        <v>1945</v>
      </c>
      <c r="O392" s="5"/>
    </row>
    <row r="393" spans="1:15">
      <c r="A393" s="30"/>
      <c r="B393" s="30"/>
      <c r="C393" s="30">
        <v>25660</v>
      </c>
      <c r="D393" s="30">
        <v>1749</v>
      </c>
      <c r="E393" s="30">
        <v>2135</v>
      </c>
      <c r="F393" s="30"/>
      <c r="G393" s="30"/>
      <c r="H393" s="30"/>
      <c r="I393" s="30"/>
      <c r="J393" s="30"/>
      <c r="K393" s="30"/>
      <c r="L393" s="30"/>
      <c r="M393" s="30"/>
      <c r="N393" s="30"/>
      <c r="O393" s="5"/>
    </row>
    <row r="394" spans="1: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>
      <c r="A395" s="14" t="s">
        <v>7</v>
      </c>
      <c r="B395" s="15" t="s">
        <v>2207</v>
      </c>
      <c r="C395" s="15"/>
      <c r="D395" s="15"/>
      <c r="E395" s="15"/>
      <c r="F395" s="15" t="s">
        <v>2271</v>
      </c>
      <c r="G395" s="15"/>
      <c r="H395" s="15"/>
      <c r="I395" s="15"/>
      <c r="J395" s="15"/>
      <c r="K395" s="15"/>
      <c r="L395" s="15"/>
      <c r="M395" s="13">
        <v>20600</v>
      </c>
      <c r="N395" s="12" t="s">
        <v>2208</v>
      </c>
      <c r="O395" s="5"/>
    </row>
    <row r="396" spans="1:15">
      <c r="A396" s="13"/>
      <c r="B396" s="13">
        <v>28062</v>
      </c>
      <c r="C396" s="13"/>
      <c r="D396" s="13"/>
      <c r="E396" s="13"/>
      <c r="F396" s="13">
        <v>2702</v>
      </c>
      <c r="G396" s="13"/>
      <c r="H396" s="13"/>
      <c r="I396" s="13"/>
      <c r="J396" s="13"/>
      <c r="K396" s="13"/>
      <c r="L396" s="13"/>
      <c r="M396" s="13"/>
      <c r="N396" s="13"/>
      <c r="O396" s="5"/>
    </row>
    <row r="397" spans="1: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5"/>
    </row>
    <row r="398" spans="1:15">
      <c r="A398" s="33" t="s">
        <v>9</v>
      </c>
      <c r="B398" s="29"/>
      <c r="C398" s="32" t="s">
        <v>209</v>
      </c>
      <c r="D398" s="32" t="s">
        <v>209</v>
      </c>
      <c r="E398" s="32"/>
      <c r="F398" s="32"/>
      <c r="G398" s="32"/>
      <c r="H398" s="29"/>
      <c r="I398" s="29"/>
      <c r="J398" s="29"/>
      <c r="K398" s="29"/>
      <c r="L398" s="29"/>
      <c r="M398" s="30">
        <v>20004</v>
      </c>
      <c r="N398" s="32" t="s">
        <v>210</v>
      </c>
      <c r="O398" s="5"/>
    </row>
    <row r="399" spans="1:15">
      <c r="A399" s="30"/>
      <c r="B399" s="30"/>
      <c r="C399" s="30">
        <v>26830</v>
      </c>
      <c r="D399" s="30">
        <v>2947</v>
      </c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5"/>
    </row>
    <row r="400" spans="1: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5"/>
    </row>
    <row r="401" spans="1:16">
      <c r="A401" s="14" t="s">
        <v>15</v>
      </c>
      <c r="B401" s="15"/>
      <c r="C401" s="12" t="s">
        <v>2209</v>
      </c>
      <c r="D401" s="12" t="s">
        <v>2210</v>
      </c>
      <c r="E401" s="12"/>
      <c r="F401" s="12"/>
      <c r="G401" s="12"/>
      <c r="H401" s="15"/>
      <c r="I401" s="15"/>
      <c r="J401" s="15"/>
      <c r="K401" s="15"/>
      <c r="L401" s="15"/>
      <c r="M401" s="13">
        <v>16004</v>
      </c>
      <c r="N401" s="12" t="s">
        <v>1957</v>
      </c>
      <c r="O401" s="5"/>
    </row>
    <row r="402" spans="1:16">
      <c r="A402" s="13"/>
      <c r="B402" s="13"/>
      <c r="C402" s="13">
        <v>27495</v>
      </c>
      <c r="D402" s="13">
        <v>4896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5"/>
    </row>
    <row r="403" spans="1:16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5"/>
    </row>
    <row r="404" spans="1:16">
      <c r="A404" s="33" t="s">
        <v>17</v>
      </c>
      <c r="B404" s="29"/>
      <c r="C404" s="32" t="s">
        <v>1237</v>
      </c>
      <c r="D404" s="32" t="s">
        <v>1237</v>
      </c>
      <c r="E404" s="32"/>
      <c r="F404" s="32"/>
      <c r="G404" s="32"/>
      <c r="H404" s="29"/>
      <c r="I404" s="32"/>
      <c r="J404" s="32"/>
      <c r="K404" s="32"/>
      <c r="L404" s="29"/>
      <c r="M404" s="30">
        <v>15838</v>
      </c>
      <c r="N404" s="32" t="s">
        <v>18</v>
      </c>
      <c r="O404" s="5"/>
    </row>
    <row r="405" spans="1:16">
      <c r="A405" s="30"/>
      <c r="B405" s="30"/>
      <c r="C405" s="30">
        <v>32913</v>
      </c>
      <c r="D405" s="30">
        <v>4359</v>
      </c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5"/>
    </row>
    <row r="406" spans="1:16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5"/>
    </row>
    <row r="407" spans="1:16">
      <c r="A407" s="14" t="s">
        <v>25</v>
      </c>
      <c r="B407" s="15" t="s">
        <v>2211</v>
      </c>
      <c r="C407" s="12" t="s">
        <v>211</v>
      </c>
      <c r="D407" s="12" t="s">
        <v>211</v>
      </c>
      <c r="E407" s="12"/>
      <c r="F407" s="12"/>
      <c r="G407" s="12"/>
      <c r="H407" s="15"/>
      <c r="I407" s="12"/>
      <c r="J407" s="12"/>
      <c r="K407" s="12"/>
      <c r="L407" s="15"/>
      <c r="M407" s="13">
        <v>5191</v>
      </c>
      <c r="N407" s="12" t="s">
        <v>212</v>
      </c>
      <c r="O407" s="5"/>
    </row>
    <row r="408" spans="1:16">
      <c r="A408" s="13"/>
      <c r="B408" s="13">
        <v>21363</v>
      </c>
      <c r="C408" s="13">
        <v>26463</v>
      </c>
      <c r="D408" s="13">
        <v>2312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5"/>
    </row>
    <row r="409" spans="1:16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5"/>
    </row>
    <row r="410" spans="1:16">
      <c r="A410" s="33" t="s">
        <v>31</v>
      </c>
      <c r="B410" s="29"/>
      <c r="C410" s="32" t="s">
        <v>2212</v>
      </c>
      <c r="D410" s="32" t="s">
        <v>2212</v>
      </c>
      <c r="E410" s="32"/>
      <c r="F410" s="32"/>
      <c r="G410" s="32"/>
      <c r="H410" s="29"/>
      <c r="I410" s="32"/>
      <c r="J410" s="32"/>
      <c r="K410" s="32"/>
      <c r="L410" s="29"/>
      <c r="M410" s="30">
        <v>15163</v>
      </c>
      <c r="N410" s="32" t="s">
        <v>1416</v>
      </c>
      <c r="O410" s="5"/>
    </row>
    <row r="411" spans="1:16">
      <c r="A411" s="30"/>
      <c r="B411" s="30"/>
      <c r="C411" s="30">
        <v>31625</v>
      </c>
      <c r="D411" s="30">
        <v>2404</v>
      </c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5"/>
    </row>
    <row r="412" spans="1:16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5"/>
    </row>
    <row r="413" spans="1:16">
      <c r="A413" s="14" t="s">
        <v>35</v>
      </c>
      <c r="B413" s="15" t="s">
        <v>1408</v>
      </c>
      <c r="C413" s="12" t="s">
        <v>2213</v>
      </c>
      <c r="D413" s="12" t="s">
        <v>2213</v>
      </c>
      <c r="E413" s="12"/>
      <c r="F413" s="12"/>
      <c r="G413" s="12"/>
      <c r="H413" s="15"/>
      <c r="I413" s="15"/>
      <c r="J413" s="15" t="s">
        <v>2272</v>
      </c>
      <c r="K413" s="15"/>
      <c r="L413" s="15"/>
      <c r="M413" s="13">
        <v>6616</v>
      </c>
      <c r="N413" s="12" t="s">
        <v>1411</v>
      </c>
      <c r="O413" s="5"/>
    </row>
    <row r="414" spans="1:16">
      <c r="A414" s="13"/>
      <c r="B414" s="13">
        <v>19328</v>
      </c>
      <c r="C414" s="13">
        <v>10827</v>
      </c>
      <c r="D414" s="13">
        <v>1440</v>
      </c>
      <c r="E414" s="13"/>
      <c r="F414" s="13"/>
      <c r="G414" s="13"/>
      <c r="H414" s="13"/>
      <c r="I414" s="13"/>
      <c r="J414" s="13">
        <v>1102</v>
      </c>
      <c r="K414" s="13"/>
      <c r="L414" s="13"/>
      <c r="M414" s="13"/>
      <c r="N414" s="13"/>
      <c r="O414" s="5"/>
    </row>
    <row r="415" spans="1:1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6">
      <c r="A416" s="30" t="s">
        <v>44</v>
      </c>
      <c r="B416" s="29" t="s">
        <v>194</v>
      </c>
      <c r="C416" s="29" t="s">
        <v>2214</v>
      </c>
      <c r="D416" s="29" t="s">
        <v>2214</v>
      </c>
      <c r="E416" s="29"/>
      <c r="F416" s="29"/>
      <c r="G416" s="29"/>
      <c r="H416" s="29"/>
      <c r="I416" s="29"/>
      <c r="J416" s="29"/>
      <c r="K416" s="29"/>
      <c r="L416" s="30"/>
      <c r="M416" s="30">
        <v>8816</v>
      </c>
      <c r="N416" s="29" t="s">
        <v>45</v>
      </c>
      <c r="O416" s="13"/>
      <c r="P416" s="4"/>
    </row>
    <row r="417" spans="1:16">
      <c r="A417" s="30"/>
      <c r="B417" s="30">
        <v>35643</v>
      </c>
      <c r="C417" s="30">
        <v>13921</v>
      </c>
      <c r="D417" s="30">
        <v>1559</v>
      </c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13"/>
      <c r="P417" s="4"/>
    </row>
    <row r="418" spans="1:16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4"/>
    </row>
    <row r="419" spans="1:16">
      <c r="A419" s="13" t="s">
        <v>49</v>
      </c>
      <c r="B419" s="15" t="s">
        <v>195</v>
      </c>
      <c r="C419" s="15" t="s">
        <v>2215</v>
      </c>
      <c r="D419" s="15" t="s">
        <v>2215</v>
      </c>
      <c r="E419" s="15" t="s">
        <v>2216</v>
      </c>
      <c r="F419" s="15"/>
      <c r="G419" s="15"/>
      <c r="H419" s="15"/>
      <c r="I419" s="13"/>
      <c r="J419" s="13"/>
      <c r="K419" s="13"/>
      <c r="L419" s="15"/>
      <c r="M419" s="13">
        <v>5190</v>
      </c>
      <c r="N419" s="15" t="s">
        <v>50</v>
      </c>
      <c r="O419" s="13"/>
      <c r="P419" s="4"/>
    </row>
    <row r="420" spans="1:16">
      <c r="A420" s="13"/>
      <c r="B420" s="13">
        <v>20274</v>
      </c>
      <c r="C420" s="13">
        <v>6480</v>
      </c>
      <c r="D420" s="13">
        <v>850</v>
      </c>
      <c r="E420" s="13">
        <v>530</v>
      </c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4"/>
    </row>
    <row r="421" spans="1:16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4"/>
    </row>
    <row r="422" spans="1:16">
      <c r="A422" s="30" t="s">
        <v>57</v>
      </c>
      <c r="B422" s="29" t="s">
        <v>2217</v>
      </c>
      <c r="C422" s="29" t="s">
        <v>2218</v>
      </c>
      <c r="D422" s="29" t="s">
        <v>2217</v>
      </c>
      <c r="E422" s="29"/>
      <c r="F422" s="29" t="s">
        <v>2217</v>
      </c>
      <c r="G422" s="29"/>
      <c r="H422" s="29"/>
      <c r="I422" s="29"/>
      <c r="J422" s="29"/>
      <c r="K422" s="29"/>
      <c r="L422" s="29"/>
      <c r="M422" s="30">
        <v>7407</v>
      </c>
      <c r="N422" s="29" t="s">
        <v>2219</v>
      </c>
      <c r="O422" s="13"/>
      <c r="P422" s="4"/>
    </row>
    <row r="423" spans="1:16">
      <c r="A423" s="30"/>
      <c r="B423" s="30">
        <v>32399</v>
      </c>
      <c r="C423" s="30">
        <v>10050</v>
      </c>
      <c r="D423" s="30">
        <v>3766</v>
      </c>
      <c r="E423" s="30"/>
      <c r="F423" s="30">
        <v>659</v>
      </c>
      <c r="G423" s="30"/>
      <c r="H423" s="30"/>
      <c r="I423" s="30"/>
      <c r="J423" s="30"/>
      <c r="K423" s="30"/>
      <c r="L423" s="30"/>
      <c r="M423" s="30"/>
      <c r="N423" s="30"/>
      <c r="O423" s="13"/>
      <c r="P423" s="4"/>
    </row>
    <row r="424" spans="1:16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4"/>
    </row>
    <row r="425" spans="1:16">
      <c r="A425" s="13" t="s">
        <v>60</v>
      </c>
      <c r="B425" s="15" t="s">
        <v>1053</v>
      </c>
      <c r="C425" s="15" t="s">
        <v>1239</v>
      </c>
      <c r="D425" s="15" t="s">
        <v>1239</v>
      </c>
      <c r="E425" s="15" t="s">
        <v>1053</v>
      </c>
      <c r="F425" s="15" t="s">
        <v>1053</v>
      </c>
      <c r="G425" s="15"/>
      <c r="H425" s="15"/>
      <c r="I425" s="15"/>
      <c r="J425" s="15"/>
      <c r="K425" s="15"/>
      <c r="L425" s="15"/>
      <c r="M425" s="13">
        <v>4695</v>
      </c>
      <c r="N425" s="15" t="s">
        <v>1414</v>
      </c>
      <c r="O425" s="13"/>
      <c r="P425" s="4"/>
    </row>
    <row r="426" spans="1:16">
      <c r="A426" s="13"/>
      <c r="B426" s="13">
        <v>36388</v>
      </c>
      <c r="C426" s="13">
        <v>26009</v>
      </c>
      <c r="D426" s="13">
        <v>2787</v>
      </c>
      <c r="E426" s="13">
        <v>2540</v>
      </c>
      <c r="F426" s="13">
        <v>521</v>
      </c>
      <c r="G426" s="13"/>
      <c r="H426" s="13"/>
      <c r="I426" s="13"/>
      <c r="J426" s="13"/>
      <c r="K426" s="13"/>
      <c r="L426" s="13"/>
      <c r="M426" s="13"/>
      <c r="N426" s="13"/>
      <c r="O426" s="13"/>
      <c r="P426" s="4"/>
    </row>
    <row r="427" spans="1:16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4"/>
    </row>
    <row r="428" spans="1:16">
      <c r="A428" s="30" t="s">
        <v>66</v>
      </c>
      <c r="B428" s="29" t="s">
        <v>1748</v>
      </c>
      <c r="C428" s="29" t="s">
        <v>562</v>
      </c>
      <c r="D428" s="29" t="s">
        <v>562</v>
      </c>
      <c r="E428" s="29" t="s">
        <v>1748</v>
      </c>
      <c r="F428" s="29"/>
      <c r="G428" s="29"/>
      <c r="H428" s="29"/>
      <c r="I428" s="29"/>
      <c r="J428" s="29"/>
      <c r="K428" s="29"/>
      <c r="L428" s="30"/>
      <c r="M428" s="30">
        <v>5267</v>
      </c>
      <c r="N428" s="29" t="s">
        <v>563</v>
      </c>
      <c r="O428" s="13"/>
      <c r="P428" s="4"/>
    </row>
    <row r="429" spans="1:16">
      <c r="A429" s="30"/>
      <c r="B429" s="30">
        <v>23515</v>
      </c>
      <c r="C429" s="30">
        <v>25648</v>
      </c>
      <c r="D429" s="30">
        <v>2411</v>
      </c>
      <c r="E429" s="30">
        <v>1913</v>
      </c>
      <c r="F429" s="30"/>
      <c r="G429" s="30"/>
      <c r="H429" s="30"/>
      <c r="I429" s="30"/>
      <c r="J429" s="30"/>
      <c r="K429" s="30"/>
      <c r="L429" s="30"/>
      <c r="M429" s="30"/>
      <c r="N429" s="30"/>
      <c r="O429" s="13"/>
      <c r="P429" s="4"/>
    </row>
    <row r="430" spans="1:16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4"/>
    </row>
    <row r="431" spans="1:16">
      <c r="A431" s="13" t="s">
        <v>74</v>
      </c>
      <c r="B431" s="15"/>
      <c r="C431" s="15" t="s">
        <v>1752</v>
      </c>
      <c r="D431" s="15" t="s">
        <v>1752</v>
      </c>
      <c r="E431" s="15"/>
      <c r="F431" s="15"/>
      <c r="G431" s="15"/>
      <c r="H431" s="15"/>
      <c r="I431" s="13"/>
      <c r="J431" s="13"/>
      <c r="K431" s="13"/>
      <c r="L431" s="15"/>
      <c r="M431" s="13">
        <v>19451</v>
      </c>
      <c r="N431" s="15" t="s">
        <v>1753</v>
      </c>
      <c r="O431" s="13"/>
      <c r="P431" s="4"/>
    </row>
    <row r="432" spans="1:16">
      <c r="A432" s="13"/>
      <c r="B432" s="13"/>
      <c r="C432" s="13">
        <v>30589</v>
      </c>
      <c r="D432" s="13">
        <v>3958</v>
      </c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4"/>
    </row>
    <row r="433" spans="1:16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4"/>
    </row>
    <row r="434" spans="1:16">
      <c r="A434" s="30" t="s">
        <v>81</v>
      </c>
      <c r="B434" s="29" t="s">
        <v>2220</v>
      </c>
      <c r="C434" s="29" t="s">
        <v>2221</v>
      </c>
      <c r="D434" s="29" t="s">
        <v>2221</v>
      </c>
      <c r="E434" s="29" t="s">
        <v>2221</v>
      </c>
      <c r="F434" s="29" t="s">
        <v>2220</v>
      </c>
      <c r="G434" s="29"/>
      <c r="H434" s="29"/>
      <c r="I434" s="29" t="s">
        <v>2221</v>
      </c>
      <c r="J434" s="29"/>
      <c r="K434" s="29"/>
      <c r="L434" s="29"/>
      <c r="M434" s="30">
        <v>3572</v>
      </c>
      <c r="N434" s="29" t="s">
        <v>2222</v>
      </c>
      <c r="O434" s="13"/>
      <c r="P434" s="4"/>
    </row>
    <row r="435" spans="1:16">
      <c r="A435" s="30"/>
      <c r="B435" s="30">
        <v>23963</v>
      </c>
      <c r="C435" s="30">
        <v>15298</v>
      </c>
      <c r="D435" s="30">
        <v>933</v>
      </c>
      <c r="E435" s="30">
        <v>1165</v>
      </c>
      <c r="F435" s="30">
        <v>1128</v>
      </c>
      <c r="G435" s="30"/>
      <c r="H435" s="30"/>
      <c r="I435" s="30">
        <v>1027</v>
      </c>
      <c r="J435" s="30"/>
      <c r="K435" s="30"/>
      <c r="L435" s="30"/>
      <c r="M435" s="30"/>
      <c r="N435" s="30"/>
      <c r="O435" s="13"/>
      <c r="P435" s="4"/>
    </row>
    <row r="436" spans="1:16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4"/>
    </row>
    <row r="437" spans="1:16">
      <c r="A437" s="13" t="s">
        <v>86</v>
      </c>
      <c r="B437" s="15" t="s">
        <v>2223</v>
      </c>
      <c r="C437" s="15" t="s">
        <v>2224</v>
      </c>
      <c r="D437" s="15" t="s">
        <v>2224</v>
      </c>
      <c r="E437" s="15" t="s">
        <v>2224</v>
      </c>
      <c r="F437" s="15" t="s">
        <v>2223</v>
      </c>
      <c r="G437" s="15"/>
      <c r="H437" s="15" t="s">
        <v>2223</v>
      </c>
      <c r="I437" s="15" t="s">
        <v>2224</v>
      </c>
      <c r="J437" s="15"/>
      <c r="K437" s="15"/>
      <c r="L437" s="15"/>
      <c r="M437" s="13">
        <v>9297</v>
      </c>
      <c r="N437" s="15" t="s">
        <v>2225</v>
      </c>
      <c r="O437" s="13"/>
      <c r="P437" s="4"/>
    </row>
    <row r="438" spans="1:16">
      <c r="A438" s="13"/>
      <c r="B438" s="13">
        <v>11610</v>
      </c>
      <c r="C438" s="13">
        <v>26237</v>
      </c>
      <c r="D438" s="13">
        <v>1883</v>
      </c>
      <c r="E438" s="13">
        <v>1851</v>
      </c>
      <c r="F438" s="13">
        <v>631</v>
      </c>
      <c r="G438" s="13"/>
      <c r="H438" s="13">
        <v>606</v>
      </c>
      <c r="I438" s="13">
        <v>1705</v>
      </c>
      <c r="J438" s="13"/>
      <c r="K438" s="13"/>
      <c r="L438" s="13"/>
      <c r="M438" s="13"/>
      <c r="N438" s="13"/>
      <c r="O438" s="13"/>
      <c r="P438" s="4"/>
    </row>
    <row r="439" spans="1:16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4"/>
    </row>
    <row r="440" spans="1:16">
      <c r="A440" s="30" t="s">
        <v>1576</v>
      </c>
      <c r="B440" s="29" t="s">
        <v>193</v>
      </c>
      <c r="C440" s="29" t="s">
        <v>2226</v>
      </c>
      <c r="D440" s="29" t="s">
        <v>193</v>
      </c>
      <c r="E440" s="29" t="s">
        <v>193</v>
      </c>
      <c r="F440" s="29"/>
      <c r="G440" s="29"/>
      <c r="H440" s="29"/>
      <c r="I440" s="30"/>
      <c r="J440" s="30"/>
      <c r="K440" s="30"/>
      <c r="L440" s="29"/>
      <c r="M440" s="30">
        <v>8574</v>
      </c>
      <c r="N440" s="29" t="s">
        <v>196</v>
      </c>
      <c r="O440" s="13"/>
      <c r="P440" s="4"/>
    </row>
    <row r="441" spans="1:16">
      <c r="A441" s="30"/>
      <c r="B441" s="30">
        <v>32866</v>
      </c>
      <c r="C441" s="30">
        <v>10952</v>
      </c>
      <c r="D441" s="30">
        <v>2080</v>
      </c>
      <c r="E441" s="30">
        <v>1974</v>
      </c>
      <c r="F441" s="30"/>
      <c r="G441" s="30"/>
      <c r="H441" s="30"/>
      <c r="I441" s="30"/>
      <c r="J441" s="30"/>
      <c r="K441" s="30"/>
      <c r="L441" s="30"/>
      <c r="M441" s="30"/>
      <c r="N441" s="30"/>
      <c r="O441" s="13"/>
      <c r="P441" s="4"/>
    </row>
    <row r="442" spans="1:16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4"/>
    </row>
    <row r="443" spans="1:16">
      <c r="A443" s="13" t="s">
        <v>100</v>
      </c>
      <c r="B443" s="15" t="s">
        <v>2227</v>
      </c>
      <c r="C443" s="15"/>
      <c r="D443" s="15"/>
      <c r="E443" s="15" t="s">
        <v>1055</v>
      </c>
      <c r="F443" s="15" t="s">
        <v>2227</v>
      </c>
      <c r="G443" s="15"/>
      <c r="H443" s="15" t="s">
        <v>2227</v>
      </c>
      <c r="I443" s="13"/>
      <c r="J443" s="15" t="s">
        <v>1055</v>
      </c>
      <c r="K443" s="13"/>
      <c r="L443" s="15"/>
      <c r="M443" s="13">
        <v>5376</v>
      </c>
      <c r="N443" s="15" t="s">
        <v>2228</v>
      </c>
      <c r="O443" s="13"/>
      <c r="P443" s="4"/>
    </row>
    <row r="444" spans="1:16">
      <c r="A444" s="13"/>
      <c r="B444" s="13">
        <v>23138</v>
      </c>
      <c r="C444" s="13"/>
      <c r="D444" s="13"/>
      <c r="E444" s="13">
        <v>5826</v>
      </c>
      <c r="F444" s="13">
        <v>490</v>
      </c>
      <c r="G444" s="13"/>
      <c r="H444" s="13">
        <v>550</v>
      </c>
      <c r="I444" s="13"/>
      <c r="J444" s="13">
        <v>1186</v>
      </c>
      <c r="K444" s="13"/>
      <c r="L444" s="13"/>
      <c r="M444" s="13"/>
      <c r="N444" s="13"/>
      <c r="O444" s="13"/>
      <c r="P444" s="4"/>
    </row>
    <row r="445" spans="1:16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4"/>
    </row>
    <row r="446" spans="1:16">
      <c r="A446" s="30" t="s">
        <v>105</v>
      </c>
      <c r="B446" s="29" t="s">
        <v>1971</v>
      </c>
      <c r="C446" s="29" t="s">
        <v>545</v>
      </c>
      <c r="D446" s="29" t="s">
        <v>545</v>
      </c>
      <c r="E446" s="29" t="s">
        <v>1971</v>
      </c>
      <c r="F446" s="29" t="s">
        <v>1971</v>
      </c>
      <c r="G446" s="29"/>
      <c r="H446" s="29"/>
      <c r="I446" s="30"/>
      <c r="J446" s="29" t="s">
        <v>1971</v>
      </c>
      <c r="K446" s="30"/>
      <c r="L446" s="29"/>
      <c r="M446" s="30">
        <v>8193</v>
      </c>
      <c r="N446" s="29" t="s">
        <v>1268</v>
      </c>
      <c r="O446" s="13"/>
      <c r="P446" s="4"/>
    </row>
    <row r="447" spans="1:16">
      <c r="A447" s="30"/>
      <c r="B447" s="30">
        <v>22590</v>
      </c>
      <c r="C447" s="30">
        <v>26887</v>
      </c>
      <c r="D447" s="30">
        <v>2163</v>
      </c>
      <c r="E447" s="30">
        <v>1241</v>
      </c>
      <c r="F447" s="30">
        <v>598</v>
      </c>
      <c r="G447" s="30"/>
      <c r="H447" s="30"/>
      <c r="I447" s="30"/>
      <c r="J447" s="30">
        <v>729</v>
      </c>
      <c r="K447" s="30"/>
      <c r="L447" s="30"/>
      <c r="M447" s="30"/>
      <c r="N447" s="30"/>
      <c r="O447" s="13"/>
      <c r="P447" s="4"/>
    </row>
    <row r="448" spans="1:16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4"/>
    </row>
    <row r="449" spans="1:16">
      <c r="A449" s="13" t="s">
        <v>115</v>
      </c>
      <c r="B449" s="15" t="s">
        <v>1758</v>
      </c>
      <c r="C449" s="15" t="s">
        <v>2229</v>
      </c>
      <c r="D449" s="15" t="s">
        <v>1758</v>
      </c>
      <c r="E449" s="15" t="s">
        <v>1758</v>
      </c>
      <c r="F449" s="15" t="s">
        <v>1758</v>
      </c>
      <c r="G449" s="15"/>
      <c r="H449" s="15"/>
      <c r="I449" s="15"/>
      <c r="J449" s="15"/>
      <c r="K449" s="15"/>
      <c r="L449" s="15"/>
      <c r="M449" s="13">
        <v>9417</v>
      </c>
      <c r="N449" s="15" t="s">
        <v>1760</v>
      </c>
      <c r="O449" s="13"/>
      <c r="P449" s="4"/>
    </row>
    <row r="450" spans="1:16">
      <c r="A450" s="13"/>
      <c r="B450" s="13">
        <v>25971</v>
      </c>
      <c r="C450" s="13">
        <v>8452</v>
      </c>
      <c r="D450" s="13">
        <v>1549</v>
      </c>
      <c r="E450" s="13">
        <v>1564</v>
      </c>
      <c r="F450" s="13">
        <v>849</v>
      </c>
      <c r="G450" s="13"/>
      <c r="H450" s="13"/>
      <c r="I450" s="13"/>
      <c r="J450" s="13"/>
      <c r="K450" s="13"/>
      <c r="L450" s="13"/>
      <c r="M450" s="13"/>
      <c r="N450" s="13"/>
      <c r="O450" s="13"/>
      <c r="P450" s="4"/>
    </row>
    <row r="451" spans="1:16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4"/>
    </row>
    <row r="452" spans="1:16">
      <c r="A452" s="30" t="s">
        <v>123</v>
      </c>
      <c r="B452" s="29" t="s">
        <v>1253</v>
      </c>
      <c r="C452" s="29" t="s">
        <v>2230</v>
      </c>
      <c r="D452" s="29"/>
      <c r="E452" s="29" t="s">
        <v>2230</v>
      </c>
      <c r="F452" s="29"/>
      <c r="G452" s="29"/>
      <c r="H452" s="29" t="s">
        <v>1253</v>
      </c>
      <c r="I452" s="30"/>
      <c r="J452" s="30"/>
      <c r="K452" s="30"/>
      <c r="L452" s="29"/>
      <c r="M452" s="30">
        <v>7378</v>
      </c>
      <c r="N452" s="29" t="s">
        <v>1257</v>
      </c>
      <c r="O452" s="13"/>
      <c r="P452" s="4"/>
    </row>
    <row r="453" spans="1:16">
      <c r="A453" s="30"/>
      <c r="B453" s="30">
        <v>24411</v>
      </c>
      <c r="C453" s="30">
        <v>6960</v>
      </c>
      <c r="D453" s="30"/>
      <c r="E453" s="30">
        <v>1330</v>
      </c>
      <c r="F453" s="30"/>
      <c r="G453" s="30"/>
      <c r="H453" s="30">
        <v>1316</v>
      </c>
      <c r="I453" s="30"/>
      <c r="J453" s="30"/>
      <c r="K453" s="30"/>
      <c r="L453" s="30"/>
      <c r="M453" s="30"/>
      <c r="N453" s="30"/>
      <c r="O453" s="13"/>
      <c r="P453" s="4"/>
    </row>
    <row r="454" spans="1:16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4"/>
    </row>
    <row r="455" spans="1:16">
      <c r="A455" s="13" t="s">
        <v>129</v>
      </c>
      <c r="B455" s="15" t="s">
        <v>1965</v>
      </c>
      <c r="C455" s="15" t="s">
        <v>438</v>
      </c>
      <c r="D455" s="15" t="s">
        <v>1965</v>
      </c>
      <c r="E455" s="15" t="s">
        <v>1965</v>
      </c>
      <c r="F455" s="15" t="s">
        <v>1965</v>
      </c>
      <c r="G455" s="15"/>
      <c r="H455" s="15"/>
      <c r="I455" s="15" t="s">
        <v>438</v>
      </c>
      <c r="J455" s="15"/>
      <c r="K455" s="15"/>
      <c r="L455" s="15"/>
      <c r="M455" s="13">
        <v>7462</v>
      </c>
      <c r="N455" s="15" t="s">
        <v>2231</v>
      </c>
      <c r="O455" s="13"/>
      <c r="P455" s="4"/>
    </row>
    <row r="456" spans="1:16">
      <c r="A456" s="13"/>
      <c r="B456" s="13">
        <v>27634</v>
      </c>
      <c r="C456" s="13">
        <v>16417</v>
      </c>
      <c r="D456" s="13">
        <v>2557</v>
      </c>
      <c r="E456" s="13">
        <v>1891</v>
      </c>
      <c r="F456" s="13">
        <v>1153</v>
      </c>
      <c r="G456" s="13"/>
      <c r="H456" s="13"/>
      <c r="I456" s="13">
        <v>1451</v>
      </c>
      <c r="J456" s="13"/>
      <c r="K456" s="13"/>
      <c r="L456" s="13"/>
      <c r="M456" s="13"/>
      <c r="N456" s="13"/>
      <c r="O456" s="13"/>
      <c r="P456" s="4"/>
    </row>
    <row r="457" spans="1:16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4"/>
    </row>
    <row r="458" spans="1:16">
      <c r="A458" s="30" t="s">
        <v>135</v>
      </c>
      <c r="B458" s="29" t="s">
        <v>587</v>
      </c>
      <c r="C458" s="29" t="s">
        <v>2232</v>
      </c>
      <c r="D458" s="29" t="s">
        <v>587</v>
      </c>
      <c r="E458" s="29" t="s">
        <v>587</v>
      </c>
      <c r="F458" s="29" t="s">
        <v>587</v>
      </c>
      <c r="G458" s="29"/>
      <c r="H458" s="29" t="s">
        <v>2233</v>
      </c>
      <c r="I458" s="29"/>
      <c r="J458" s="29"/>
      <c r="K458" s="29"/>
      <c r="L458" s="29" t="s">
        <v>2234</v>
      </c>
      <c r="M458" s="30">
        <v>10117</v>
      </c>
      <c r="N458" s="29" t="s">
        <v>1968</v>
      </c>
      <c r="O458" s="13"/>
      <c r="P458" s="4"/>
    </row>
    <row r="459" spans="1:16">
      <c r="A459" s="30"/>
      <c r="B459" s="30">
        <v>24458</v>
      </c>
      <c r="C459" s="30">
        <v>15179</v>
      </c>
      <c r="D459" s="30">
        <v>2612</v>
      </c>
      <c r="E459" s="30">
        <v>1807</v>
      </c>
      <c r="F459" s="30">
        <v>928</v>
      </c>
      <c r="G459" s="30"/>
      <c r="H459" s="30">
        <v>477</v>
      </c>
      <c r="I459" s="30"/>
      <c r="J459" s="30"/>
      <c r="K459" s="30"/>
      <c r="L459" s="30">
        <v>255</v>
      </c>
      <c r="M459" s="30"/>
      <c r="N459" s="30"/>
      <c r="O459" s="13"/>
      <c r="P459" s="4"/>
    </row>
    <row r="460" spans="1:16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4"/>
    </row>
    <row r="461" spans="1:16">
      <c r="A461" s="13" t="s">
        <v>143</v>
      </c>
      <c r="B461" s="15" t="s">
        <v>425</v>
      </c>
      <c r="C461" s="15" t="s">
        <v>1265</v>
      </c>
      <c r="D461" s="15" t="s">
        <v>1265</v>
      </c>
      <c r="E461" s="15" t="s">
        <v>1265</v>
      </c>
      <c r="F461" s="15"/>
      <c r="G461" s="15"/>
      <c r="H461" s="15"/>
      <c r="I461" s="15"/>
      <c r="J461" s="15"/>
      <c r="K461" s="15"/>
      <c r="L461" s="13"/>
      <c r="M461" s="13">
        <v>9778</v>
      </c>
      <c r="N461" s="15" t="s">
        <v>1266</v>
      </c>
      <c r="O461" s="13"/>
      <c r="P461" s="4"/>
    </row>
    <row r="462" spans="1:16">
      <c r="A462" s="13"/>
      <c r="B462" s="13">
        <v>11168</v>
      </c>
      <c r="C462" s="13">
        <v>27633</v>
      </c>
      <c r="D462" s="13">
        <v>2276</v>
      </c>
      <c r="E462" s="13">
        <v>1339</v>
      </c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4"/>
    </row>
    <row r="463" spans="1:16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4"/>
    </row>
    <row r="464" spans="1:16">
      <c r="A464" s="30" t="s">
        <v>149</v>
      </c>
      <c r="B464" s="29" t="s">
        <v>2235</v>
      </c>
      <c r="C464" s="29" t="s">
        <v>1755</v>
      </c>
      <c r="D464" s="29" t="s">
        <v>1755</v>
      </c>
      <c r="E464" s="29" t="s">
        <v>2235</v>
      </c>
      <c r="F464" s="29" t="s">
        <v>2235</v>
      </c>
      <c r="G464" s="29"/>
      <c r="H464" s="29"/>
      <c r="I464" s="29" t="s">
        <v>1755</v>
      </c>
      <c r="J464" s="29"/>
      <c r="K464" s="29"/>
      <c r="L464" s="29"/>
      <c r="M464" s="30">
        <v>8958</v>
      </c>
      <c r="N464" s="29" t="s">
        <v>1757</v>
      </c>
      <c r="O464" s="13"/>
      <c r="P464" s="4"/>
    </row>
    <row r="465" spans="1:16">
      <c r="A465" s="30"/>
      <c r="B465" s="30">
        <v>19978</v>
      </c>
      <c r="C465" s="30">
        <v>30118</v>
      </c>
      <c r="D465" s="30">
        <v>3218</v>
      </c>
      <c r="E465" s="30">
        <v>1606</v>
      </c>
      <c r="F465" s="30">
        <v>928</v>
      </c>
      <c r="G465" s="30"/>
      <c r="H465" s="30"/>
      <c r="I465" s="30">
        <v>2324</v>
      </c>
      <c r="J465" s="30"/>
      <c r="K465" s="30"/>
      <c r="L465" s="30"/>
      <c r="M465" s="30"/>
      <c r="N465" s="30"/>
      <c r="O465" s="13"/>
      <c r="P465" s="4"/>
    </row>
    <row r="466" spans="1:16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4"/>
    </row>
    <row r="467" spans="1:16">
      <c r="A467" s="13" t="s">
        <v>155</v>
      </c>
      <c r="B467" s="15" t="s">
        <v>2236</v>
      </c>
      <c r="C467" s="15" t="s">
        <v>1314</v>
      </c>
      <c r="D467" s="15" t="s">
        <v>1314</v>
      </c>
      <c r="E467" s="15" t="s">
        <v>1314</v>
      </c>
      <c r="F467" s="15"/>
      <c r="G467" s="15"/>
      <c r="H467" s="15"/>
      <c r="I467" s="13"/>
      <c r="J467" s="13"/>
      <c r="K467" s="13"/>
      <c r="L467" s="13"/>
      <c r="M467" s="13">
        <v>5907</v>
      </c>
      <c r="N467" s="15" t="s">
        <v>1972</v>
      </c>
      <c r="O467" s="13"/>
      <c r="P467" s="4"/>
    </row>
    <row r="468" spans="1:16">
      <c r="A468" s="13"/>
      <c r="B468" s="13">
        <v>10799</v>
      </c>
      <c r="C468" s="13">
        <v>27924</v>
      </c>
      <c r="D468" s="13">
        <v>1738</v>
      </c>
      <c r="E468" s="13">
        <v>1318</v>
      </c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4"/>
    </row>
    <row r="469" spans="1:16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4"/>
    </row>
    <row r="470" spans="1:16">
      <c r="A470" s="30" t="s">
        <v>162</v>
      </c>
      <c r="B470" s="29" t="s">
        <v>1430</v>
      </c>
      <c r="C470" s="29" t="s">
        <v>2237</v>
      </c>
      <c r="D470" s="29" t="s">
        <v>2237</v>
      </c>
      <c r="E470" s="29" t="s">
        <v>1430</v>
      </c>
      <c r="F470" s="29"/>
      <c r="G470" s="29"/>
      <c r="H470" s="29"/>
      <c r="I470" s="30"/>
      <c r="J470" s="30"/>
      <c r="K470" s="30"/>
      <c r="L470" s="30"/>
      <c r="M470" s="30">
        <v>5336</v>
      </c>
      <c r="N470" s="29" t="s">
        <v>1431</v>
      </c>
      <c r="O470" s="13"/>
      <c r="P470" s="4"/>
    </row>
    <row r="471" spans="1:16">
      <c r="A471" s="30"/>
      <c r="B471" s="30">
        <v>26273</v>
      </c>
      <c r="C471" s="30">
        <v>14534</v>
      </c>
      <c r="D471" s="30">
        <v>1385</v>
      </c>
      <c r="E471" s="30">
        <v>2015</v>
      </c>
      <c r="F471" s="30"/>
      <c r="G471" s="30"/>
      <c r="H471" s="30"/>
      <c r="I471" s="30"/>
      <c r="J471" s="30"/>
      <c r="K471" s="30"/>
      <c r="L471" s="30"/>
      <c r="M471" s="30"/>
      <c r="N471" s="30"/>
      <c r="O471" s="13"/>
      <c r="P471" s="4"/>
    </row>
    <row r="472" spans="1:1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3"/>
      <c r="P472" s="4"/>
    </row>
    <row r="473" spans="1:16">
      <c r="A473" s="19" t="s">
        <v>171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4"/>
    </row>
    <row r="474" spans="1:16">
      <c r="A474" s="19" t="s">
        <v>2238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4"/>
    </row>
    <row r="475" spans="1:16">
      <c r="A475" s="19" t="s">
        <v>2239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4"/>
    </row>
    <row r="476" spans="1:16">
      <c r="A476" s="19" t="s">
        <v>2240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4"/>
    </row>
    <row r="477" spans="1:16">
      <c r="A477" s="13" t="s">
        <v>2241</v>
      </c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4"/>
    </row>
    <row r="478" spans="1:16">
      <c r="A478" s="13" t="s">
        <v>2242</v>
      </c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4"/>
    </row>
    <row r="479" spans="1:16">
      <c r="A479" s="13" t="s">
        <v>2243</v>
      </c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4"/>
    </row>
    <row r="480" spans="1:16">
      <c r="A480" s="13" t="s">
        <v>2244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4"/>
    </row>
    <row r="481" spans="1:16">
      <c r="A481" s="13" t="s">
        <v>1778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4"/>
    </row>
    <row r="482" spans="1:16">
      <c r="A482" s="13" t="s">
        <v>2245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4"/>
    </row>
    <row r="483" spans="1:16">
      <c r="A483" s="13" t="s">
        <v>2246</v>
      </c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4"/>
    </row>
    <row r="484" spans="1:16">
      <c r="A484" s="13" t="s">
        <v>2247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4"/>
    </row>
    <row r="485" spans="1:16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4"/>
    </row>
    <row r="486" spans="1:16">
      <c r="A486" s="56" t="s">
        <v>1597</v>
      </c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4"/>
    </row>
    <row r="487" spans="1:16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</sheetData>
  <hyperlinks>
    <hyperlink ref="A486" r:id="rId1"/>
  </hyperlinks>
  <pageMargins left="0.7" right="0.7" top="0.75" bottom="0.75" header="0.3" footer="0.3"/>
  <pageSetup scale="44" fitToHeight="1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1"/>
  <sheetViews>
    <sheetView workbookViewId="0"/>
  </sheetViews>
  <sheetFormatPr defaultColWidth="15.77734375" defaultRowHeight="15.75"/>
  <cols>
    <col min="1" max="1" width="25.77734375" customWidth="1"/>
    <col min="13" max="13" width="26.77734375" customWidth="1"/>
  </cols>
  <sheetData>
    <row r="1" spans="1:14" ht="20.25">
      <c r="A1" s="22" t="s">
        <v>0</v>
      </c>
      <c r="B1" s="8"/>
      <c r="C1" s="8"/>
      <c r="D1" s="8"/>
      <c r="E1" s="8"/>
      <c r="F1" s="8"/>
      <c r="G1" s="8"/>
      <c r="H1" s="5"/>
      <c r="I1" s="5"/>
      <c r="J1" s="5"/>
      <c r="K1" s="5"/>
      <c r="L1" s="5"/>
      <c r="M1" s="5"/>
      <c r="N1" s="5"/>
    </row>
    <row r="2" spans="1:14" ht="20.25">
      <c r="A2" s="22" t="s">
        <v>2474</v>
      </c>
      <c r="B2" s="8"/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9.25">
      <c r="A4" s="24" t="s">
        <v>1</v>
      </c>
      <c r="B4" s="25" t="s">
        <v>197</v>
      </c>
      <c r="C4" s="25" t="s">
        <v>186</v>
      </c>
      <c r="D4" s="25" t="s">
        <v>1609</v>
      </c>
      <c r="E4" s="25" t="s">
        <v>215</v>
      </c>
      <c r="F4" s="26" t="s">
        <v>2253</v>
      </c>
      <c r="G4" s="26" t="s">
        <v>1804</v>
      </c>
      <c r="H4" s="25" t="s">
        <v>1982</v>
      </c>
      <c r="I4" s="25" t="s">
        <v>585</v>
      </c>
      <c r="J4" s="25" t="s">
        <v>586</v>
      </c>
      <c r="K4" s="25" t="s">
        <v>580</v>
      </c>
      <c r="L4" s="27" t="s">
        <v>582</v>
      </c>
      <c r="M4" s="25" t="s">
        <v>2</v>
      </c>
      <c r="N4" s="5"/>
    </row>
    <row r="5" spans="1:1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11" t="s">
        <v>3</v>
      </c>
      <c r="B6" s="12" t="s">
        <v>2273</v>
      </c>
      <c r="C6" s="12" t="s">
        <v>1610</v>
      </c>
      <c r="D6" s="12" t="s">
        <v>1610</v>
      </c>
      <c r="E6" s="12" t="s">
        <v>1610</v>
      </c>
      <c r="F6" s="12"/>
      <c r="G6" s="12"/>
      <c r="H6" s="12" t="s">
        <v>2274</v>
      </c>
      <c r="I6" s="12"/>
      <c r="J6" s="12"/>
      <c r="K6" s="12"/>
      <c r="L6" s="13">
        <v>4535</v>
      </c>
      <c r="M6" s="12" t="s">
        <v>1611</v>
      </c>
      <c r="N6" s="5"/>
    </row>
    <row r="7" spans="1:14">
      <c r="A7" s="5"/>
      <c r="B7" s="13">
        <v>10665</v>
      </c>
      <c r="C7" s="13">
        <v>19831</v>
      </c>
      <c r="D7" s="13">
        <v>3484</v>
      </c>
      <c r="E7" s="13">
        <v>919</v>
      </c>
      <c r="F7" s="13"/>
      <c r="G7" s="13"/>
      <c r="H7" s="13">
        <v>1866</v>
      </c>
      <c r="I7" s="13"/>
      <c r="J7" s="13"/>
      <c r="K7" s="13"/>
      <c r="L7" s="13"/>
      <c r="M7" s="14"/>
      <c r="N7" s="5"/>
    </row>
    <row r="8" spans="1:14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5"/>
    </row>
    <row r="9" spans="1:14">
      <c r="A9" s="28" t="s">
        <v>10</v>
      </c>
      <c r="B9" s="29" t="s">
        <v>2275</v>
      </c>
      <c r="C9" s="29" t="s">
        <v>1085</v>
      </c>
      <c r="D9" s="29" t="s">
        <v>2015</v>
      </c>
      <c r="E9" s="29" t="s">
        <v>216</v>
      </c>
      <c r="F9" s="29"/>
      <c r="G9" s="29"/>
      <c r="H9" s="29" t="s">
        <v>2015</v>
      </c>
      <c r="I9" s="29"/>
      <c r="J9" s="29"/>
      <c r="K9" s="29"/>
      <c r="L9" s="30">
        <v>4397</v>
      </c>
      <c r="M9" s="29" t="s">
        <v>11</v>
      </c>
      <c r="N9" s="5"/>
    </row>
    <row r="10" spans="1:14">
      <c r="A10" s="31"/>
      <c r="B10" s="30">
        <v>10404</v>
      </c>
      <c r="C10" s="30">
        <v>19203</v>
      </c>
      <c r="D10" s="30">
        <v>2270</v>
      </c>
      <c r="E10" s="30">
        <v>1592</v>
      </c>
      <c r="F10" s="30"/>
      <c r="G10" s="30"/>
      <c r="H10" s="30">
        <v>1279</v>
      </c>
      <c r="I10" s="30"/>
      <c r="J10" s="30"/>
      <c r="K10" s="30"/>
      <c r="L10" s="30"/>
      <c r="M10" s="30"/>
      <c r="N10" s="5"/>
    </row>
    <row r="11" spans="1:14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"/>
    </row>
    <row r="12" spans="1:14">
      <c r="A12" s="11" t="s">
        <v>16</v>
      </c>
      <c r="B12" s="12" t="s">
        <v>2276</v>
      </c>
      <c r="C12" s="12" t="s">
        <v>2277</v>
      </c>
      <c r="D12" s="12" t="s">
        <v>2277</v>
      </c>
      <c r="E12" s="12" t="s">
        <v>2277</v>
      </c>
      <c r="F12" s="12"/>
      <c r="G12" s="12"/>
      <c r="H12" s="12"/>
      <c r="I12" s="12"/>
      <c r="J12" s="12" t="s">
        <v>1543</v>
      </c>
      <c r="K12" s="12" t="s">
        <v>2278</v>
      </c>
      <c r="L12" s="13">
        <v>2871</v>
      </c>
      <c r="M12" s="12" t="s">
        <v>2279</v>
      </c>
      <c r="N12" s="5"/>
    </row>
    <row r="13" spans="1:14">
      <c r="A13" s="5"/>
      <c r="B13" s="13">
        <v>15930</v>
      </c>
      <c r="C13" s="13">
        <v>10167</v>
      </c>
      <c r="D13" s="13">
        <v>1895</v>
      </c>
      <c r="E13" s="13">
        <v>508</v>
      </c>
      <c r="F13" s="13"/>
      <c r="G13" s="13"/>
      <c r="H13" s="13"/>
      <c r="I13" s="13"/>
      <c r="J13" s="13">
        <v>221</v>
      </c>
      <c r="K13" s="13">
        <v>608</v>
      </c>
      <c r="L13" s="13"/>
      <c r="M13" s="14"/>
      <c r="N13" s="5"/>
    </row>
    <row r="14" spans="1:14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/>
    </row>
    <row r="15" spans="1:14">
      <c r="A15" s="28" t="s">
        <v>26</v>
      </c>
      <c r="B15" s="32" t="s">
        <v>187</v>
      </c>
      <c r="C15" s="32" t="s">
        <v>2280</v>
      </c>
      <c r="D15" s="32" t="s">
        <v>2280</v>
      </c>
      <c r="E15" s="32" t="s">
        <v>2280</v>
      </c>
      <c r="F15" s="32"/>
      <c r="G15" s="32"/>
      <c r="H15" s="32" t="s">
        <v>2280</v>
      </c>
      <c r="I15" s="32"/>
      <c r="J15" s="32"/>
      <c r="K15" s="32" t="s">
        <v>2281</v>
      </c>
      <c r="L15" s="30">
        <v>4596</v>
      </c>
      <c r="M15" s="32" t="s">
        <v>27</v>
      </c>
      <c r="N15" s="5"/>
    </row>
    <row r="16" spans="1:14">
      <c r="A16" s="31"/>
      <c r="B16" s="30">
        <v>16902</v>
      </c>
      <c r="C16" s="30">
        <v>11765</v>
      </c>
      <c r="D16" s="30">
        <v>2031</v>
      </c>
      <c r="E16" s="32">
        <v>360</v>
      </c>
      <c r="F16" s="32"/>
      <c r="G16" s="32"/>
      <c r="H16" s="30">
        <v>1254</v>
      </c>
      <c r="I16" s="30"/>
      <c r="J16" s="30"/>
      <c r="K16" s="30">
        <v>201</v>
      </c>
      <c r="L16" s="30"/>
      <c r="M16" s="33"/>
      <c r="N16" s="5"/>
    </row>
    <row r="17" spans="1:14">
      <c r="A17" s="31"/>
      <c r="B17" s="30"/>
      <c r="C17" s="30"/>
      <c r="D17" s="30"/>
      <c r="E17" s="30"/>
      <c r="F17" s="30"/>
      <c r="G17" s="30"/>
      <c r="H17" s="30"/>
      <c r="I17" s="30"/>
      <c r="J17" s="30"/>
      <c r="K17" s="32" t="s">
        <v>2282</v>
      </c>
      <c r="L17" s="30"/>
      <c r="M17" s="30"/>
      <c r="N17" s="5"/>
    </row>
    <row r="18" spans="1:14">
      <c r="A18" s="31"/>
      <c r="B18" s="30"/>
      <c r="C18" s="30"/>
      <c r="D18" s="30"/>
      <c r="E18" s="30"/>
      <c r="F18" s="30"/>
      <c r="G18" s="30"/>
      <c r="H18" s="30"/>
      <c r="I18" s="30"/>
      <c r="J18" s="30"/>
      <c r="K18" s="30">
        <v>337</v>
      </c>
      <c r="L18" s="30"/>
      <c r="M18" s="30"/>
      <c r="N18" s="5"/>
    </row>
    <row r="19" spans="1:14">
      <c r="A19" s="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5"/>
    </row>
    <row r="20" spans="1:14">
      <c r="A20" s="11" t="s">
        <v>40</v>
      </c>
      <c r="B20" s="12" t="s">
        <v>2283</v>
      </c>
      <c r="C20" s="12" t="s">
        <v>2284</v>
      </c>
      <c r="D20" s="12" t="s">
        <v>2284</v>
      </c>
      <c r="E20" s="12" t="s">
        <v>2285</v>
      </c>
      <c r="F20" s="12"/>
      <c r="G20" s="12"/>
      <c r="H20" s="12" t="s">
        <v>2286</v>
      </c>
      <c r="I20" s="12"/>
      <c r="J20" s="12"/>
      <c r="K20" s="12" t="s">
        <v>2287</v>
      </c>
      <c r="L20" s="13">
        <v>2346</v>
      </c>
      <c r="M20" s="12" t="s">
        <v>2288</v>
      </c>
      <c r="N20" s="5"/>
    </row>
    <row r="21" spans="1:14">
      <c r="A21" s="5"/>
      <c r="B21" s="13">
        <v>14296</v>
      </c>
      <c r="C21" s="13">
        <v>8382</v>
      </c>
      <c r="D21" s="13">
        <v>1631</v>
      </c>
      <c r="E21" s="13">
        <v>804</v>
      </c>
      <c r="F21" s="13"/>
      <c r="G21" s="13"/>
      <c r="H21" s="13">
        <v>643</v>
      </c>
      <c r="I21" s="13"/>
      <c r="J21" s="13"/>
      <c r="K21" s="13">
        <v>182</v>
      </c>
      <c r="L21" s="13"/>
      <c r="M21" s="14"/>
      <c r="N21" s="5"/>
    </row>
    <row r="22" spans="1:14">
      <c r="A22" s="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5"/>
    </row>
    <row r="23" spans="1:14">
      <c r="A23" s="28" t="s">
        <v>52</v>
      </c>
      <c r="B23" s="32" t="s">
        <v>2289</v>
      </c>
      <c r="C23" s="32" t="s">
        <v>2020</v>
      </c>
      <c r="D23" s="32" t="s">
        <v>2020</v>
      </c>
      <c r="E23" s="32" t="s">
        <v>2021</v>
      </c>
      <c r="F23" s="32"/>
      <c r="G23" s="32"/>
      <c r="H23" s="32" t="s">
        <v>2022</v>
      </c>
      <c r="I23" s="32"/>
      <c r="J23" s="32"/>
      <c r="K23" s="29"/>
      <c r="L23" s="30">
        <v>3970</v>
      </c>
      <c r="M23" s="32" t="s">
        <v>2023</v>
      </c>
      <c r="N23" s="5"/>
    </row>
    <row r="24" spans="1:14">
      <c r="A24" s="31"/>
      <c r="B24" s="30">
        <v>11740</v>
      </c>
      <c r="C24" s="30">
        <v>17365</v>
      </c>
      <c r="D24" s="30">
        <v>3356</v>
      </c>
      <c r="E24" s="30">
        <v>543</v>
      </c>
      <c r="F24" s="30"/>
      <c r="G24" s="30"/>
      <c r="H24" s="30">
        <v>2091</v>
      </c>
      <c r="I24" s="30"/>
      <c r="J24" s="30"/>
      <c r="K24" s="30"/>
      <c r="L24" s="30"/>
      <c r="M24" s="33"/>
      <c r="N24" s="5"/>
    </row>
    <row r="25" spans="1:14">
      <c r="A25" s="5"/>
      <c r="B25" s="37"/>
      <c r="C25" s="37"/>
      <c r="D25" s="37"/>
      <c r="E25" s="37"/>
      <c r="F25" s="37"/>
      <c r="G25" s="37"/>
      <c r="H25" s="37"/>
      <c r="I25" s="37"/>
      <c r="J25" s="37"/>
      <c r="K25" s="13"/>
      <c r="L25" s="13"/>
      <c r="M25" s="13"/>
      <c r="N25" s="5"/>
    </row>
    <row r="26" spans="1:14">
      <c r="A26" s="11" t="s">
        <v>59</v>
      </c>
      <c r="B26" s="12" t="s">
        <v>2291</v>
      </c>
      <c r="C26" s="12" t="s">
        <v>2025</v>
      </c>
      <c r="D26" s="12" t="s">
        <v>2025</v>
      </c>
      <c r="E26" s="12"/>
      <c r="F26" s="12"/>
      <c r="G26" s="12"/>
      <c r="H26" s="12" t="s">
        <v>2026</v>
      </c>
      <c r="I26" s="12"/>
      <c r="J26" s="12"/>
      <c r="K26" s="12"/>
      <c r="L26" s="13">
        <v>4494</v>
      </c>
      <c r="M26" s="12" t="s">
        <v>1618</v>
      </c>
      <c r="N26" s="5"/>
    </row>
    <row r="27" spans="1:14">
      <c r="A27" s="5"/>
      <c r="B27" s="13">
        <v>7681</v>
      </c>
      <c r="C27" s="13">
        <v>11829</v>
      </c>
      <c r="D27" s="13">
        <v>2429</v>
      </c>
      <c r="E27" s="13"/>
      <c r="F27" s="13"/>
      <c r="G27" s="13"/>
      <c r="H27" s="13">
        <v>1213</v>
      </c>
      <c r="I27" s="13"/>
      <c r="J27" s="13"/>
      <c r="K27" s="13"/>
      <c r="L27" s="13"/>
      <c r="M27" s="14"/>
      <c r="N27" s="5"/>
    </row>
    <row r="28" spans="1:14">
      <c r="A28" s="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5"/>
    </row>
    <row r="29" spans="1:14">
      <c r="A29" s="28" t="s">
        <v>64</v>
      </c>
      <c r="B29" s="32" t="s">
        <v>2292</v>
      </c>
      <c r="C29" s="32" t="s">
        <v>2028</v>
      </c>
      <c r="D29" s="32" t="s">
        <v>2028</v>
      </c>
      <c r="E29" s="32" t="s">
        <v>1092</v>
      </c>
      <c r="F29" s="32"/>
      <c r="G29" s="32"/>
      <c r="H29" s="32" t="s">
        <v>2293</v>
      </c>
      <c r="I29" s="32"/>
      <c r="J29" s="32"/>
      <c r="K29" s="32"/>
      <c r="L29" s="30">
        <v>4983</v>
      </c>
      <c r="M29" s="32" t="s">
        <v>1620</v>
      </c>
      <c r="N29" s="5"/>
    </row>
    <row r="30" spans="1:14">
      <c r="A30" s="31"/>
      <c r="B30" s="30">
        <v>8580</v>
      </c>
      <c r="C30" s="30">
        <v>15594</v>
      </c>
      <c r="D30" s="30">
        <v>2813</v>
      </c>
      <c r="E30" s="30">
        <v>537</v>
      </c>
      <c r="F30" s="30"/>
      <c r="G30" s="30"/>
      <c r="H30" s="30">
        <v>805</v>
      </c>
      <c r="I30" s="30"/>
      <c r="J30" s="30"/>
      <c r="K30" s="30"/>
      <c r="L30" s="30"/>
      <c r="M30" s="33"/>
      <c r="N30" s="5"/>
    </row>
    <row r="31" spans="1:14">
      <c r="A31" s="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5"/>
    </row>
    <row r="32" spans="1:14">
      <c r="A32" s="11" t="s">
        <v>73</v>
      </c>
      <c r="B32" s="12" t="s">
        <v>2294</v>
      </c>
      <c r="C32" s="12" t="s">
        <v>2029</v>
      </c>
      <c r="D32" s="12" t="s">
        <v>2029</v>
      </c>
      <c r="E32" s="12" t="s">
        <v>2030</v>
      </c>
      <c r="F32" s="12"/>
      <c r="G32" s="12"/>
      <c r="H32" s="12" t="s">
        <v>2031</v>
      </c>
      <c r="I32" s="12"/>
      <c r="J32" s="12"/>
      <c r="K32" s="12"/>
      <c r="L32" s="13">
        <v>4276</v>
      </c>
      <c r="M32" s="12" t="s">
        <v>2032</v>
      </c>
      <c r="N32" s="5"/>
    </row>
    <row r="33" spans="1:14">
      <c r="A33" s="5"/>
      <c r="B33" s="13">
        <v>12546</v>
      </c>
      <c r="C33" s="13">
        <v>17944</v>
      </c>
      <c r="D33" s="13">
        <v>3387</v>
      </c>
      <c r="E33" s="13">
        <v>3387</v>
      </c>
      <c r="F33" s="13"/>
      <c r="G33" s="13"/>
      <c r="H33" s="13">
        <v>1719</v>
      </c>
      <c r="I33" s="13"/>
      <c r="J33" s="13"/>
      <c r="K33" s="13"/>
      <c r="L33" s="13"/>
      <c r="M33" s="14"/>
      <c r="N33" s="5"/>
    </row>
    <row r="34" spans="1:14">
      <c r="A34" s="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5"/>
    </row>
    <row r="35" spans="1:14">
      <c r="A35" s="28" t="s">
        <v>80</v>
      </c>
      <c r="B35" s="32" t="s">
        <v>2295</v>
      </c>
      <c r="C35" s="32" t="s">
        <v>1096</v>
      </c>
      <c r="D35" s="32" t="s">
        <v>1096</v>
      </c>
      <c r="E35" s="32" t="s">
        <v>1097</v>
      </c>
      <c r="F35" s="32"/>
      <c r="G35" s="32"/>
      <c r="H35" s="32" t="s">
        <v>2296</v>
      </c>
      <c r="I35" s="32"/>
      <c r="J35" s="32"/>
      <c r="K35" s="32"/>
      <c r="L35" s="30">
        <v>4626</v>
      </c>
      <c r="M35" s="32" t="s">
        <v>1098</v>
      </c>
      <c r="N35" s="5"/>
    </row>
    <row r="36" spans="1:14">
      <c r="A36" s="31"/>
      <c r="B36" s="30">
        <v>10010</v>
      </c>
      <c r="C36" s="30">
        <v>14928</v>
      </c>
      <c r="D36" s="30">
        <v>2828</v>
      </c>
      <c r="E36" s="30">
        <v>562</v>
      </c>
      <c r="F36" s="30"/>
      <c r="G36" s="30"/>
      <c r="H36" s="30">
        <v>878</v>
      </c>
      <c r="I36" s="30"/>
      <c r="J36" s="30"/>
      <c r="K36" s="30"/>
      <c r="L36" s="30"/>
      <c r="M36" s="33"/>
      <c r="N36" s="5"/>
    </row>
    <row r="37" spans="1:14">
      <c r="A37" s="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5"/>
    </row>
    <row r="38" spans="1:14">
      <c r="A38" s="11" t="s">
        <v>83</v>
      </c>
      <c r="B38" s="12" t="s">
        <v>939</v>
      </c>
      <c r="C38" s="12" t="s">
        <v>747</v>
      </c>
      <c r="D38" s="12" t="s">
        <v>747</v>
      </c>
      <c r="E38" s="12" t="s">
        <v>941</v>
      </c>
      <c r="F38" s="12"/>
      <c r="G38" s="12"/>
      <c r="H38" s="12" t="s">
        <v>2297</v>
      </c>
      <c r="I38" s="12"/>
      <c r="J38" s="12"/>
      <c r="K38" s="12" t="s">
        <v>2298</v>
      </c>
      <c r="L38" s="13">
        <v>3357</v>
      </c>
      <c r="M38" s="12" t="s">
        <v>942</v>
      </c>
      <c r="N38" s="5"/>
    </row>
    <row r="39" spans="1:14">
      <c r="A39" s="5"/>
      <c r="B39" s="13">
        <v>14549</v>
      </c>
      <c r="C39" s="13">
        <v>5728</v>
      </c>
      <c r="D39" s="13">
        <v>1258</v>
      </c>
      <c r="E39" s="13">
        <v>835</v>
      </c>
      <c r="F39" s="13"/>
      <c r="G39" s="13"/>
      <c r="H39" s="13">
        <v>886</v>
      </c>
      <c r="I39" s="13"/>
      <c r="J39" s="13"/>
      <c r="K39" s="13">
        <v>242</v>
      </c>
      <c r="L39" s="13"/>
      <c r="M39" s="14"/>
      <c r="N39" s="5"/>
    </row>
    <row r="40" spans="1:14">
      <c r="A40" s="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5"/>
    </row>
    <row r="41" spans="1:14">
      <c r="A41" s="28" t="s">
        <v>91</v>
      </c>
      <c r="B41" s="32" t="s">
        <v>2299</v>
      </c>
      <c r="C41" s="32" t="s">
        <v>1820</v>
      </c>
      <c r="D41" s="32" t="s">
        <v>1820</v>
      </c>
      <c r="E41" s="32" t="s">
        <v>2300</v>
      </c>
      <c r="F41" s="32"/>
      <c r="G41" s="32"/>
      <c r="H41" s="32"/>
      <c r="I41" s="32"/>
      <c r="J41" s="32"/>
      <c r="K41" s="32"/>
      <c r="L41" s="30">
        <v>4676</v>
      </c>
      <c r="M41" s="32" t="s">
        <v>1823</v>
      </c>
      <c r="N41" s="5"/>
    </row>
    <row r="42" spans="1:14">
      <c r="A42" s="31"/>
      <c r="B42" s="30">
        <v>8587</v>
      </c>
      <c r="C42" s="30">
        <v>20993</v>
      </c>
      <c r="D42" s="30">
        <v>4056</v>
      </c>
      <c r="E42" s="30">
        <v>236</v>
      </c>
      <c r="F42" s="30"/>
      <c r="G42" s="30"/>
      <c r="H42" s="30"/>
      <c r="I42" s="30"/>
      <c r="J42" s="30"/>
      <c r="K42" s="30"/>
      <c r="L42" s="30"/>
      <c r="M42" s="33"/>
      <c r="N42" s="5"/>
    </row>
    <row r="43" spans="1:14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5"/>
    </row>
    <row r="44" spans="1:14">
      <c r="A44" s="11" t="s">
        <v>94</v>
      </c>
      <c r="B44" s="12" t="s">
        <v>1824</v>
      </c>
      <c r="C44" s="12" t="s">
        <v>2301</v>
      </c>
      <c r="D44" s="12" t="s">
        <v>2301</v>
      </c>
      <c r="E44" s="12" t="s">
        <v>1625</v>
      </c>
      <c r="F44" s="12"/>
      <c r="G44" s="12" t="s">
        <v>419</v>
      </c>
      <c r="H44" s="12" t="s">
        <v>2302</v>
      </c>
      <c r="I44" s="12"/>
      <c r="J44" s="12"/>
      <c r="K44" s="12"/>
      <c r="L44" s="13">
        <v>3720</v>
      </c>
      <c r="M44" s="12" t="s">
        <v>1826</v>
      </c>
      <c r="N44" s="5"/>
    </row>
    <row r="45" spans="1:14">
      <c r="A45" s="5"/>
      <c r="B45" s="13">
        <v>21813</v>
      </c>
      <c r="C45" s="13">
        <v>12559</v>
      </c>
      <c r="D45" s="13">
        <v>1912</v>
      </c>
      <c r="E45" s="13">
        <v>406</v>
      </c>
      <c r="F45" s="13"/>
      <c r="G45" s="13">
        <v>261</v>
      </c>
      <c r="H45" s="13">
        <v>618</v>
      </c>
      <c r="I45" s="13"/>
      <c r="J45" s="13"/>
      <c r="K45" s="13"/>
      <c r="L45" s="13"/>
      <c r="M45" s="14"/>
      <c r="N45" s="5"/>
    </row>
    <row r="46" spans="1:14">
      <c r="A46" s="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5"/>
    </row>
    <row r="47" spans="1:14">
      <c r="A47" s="28" t="s">
        <v>104</v>
      </c>
      <c r="B47" s="32" t="s">
        <v>2303</v>
      </c>
      <c r="C47" s="32" t="s">
        <v>2036</v>
      </c>
      <c r="D47" s="32" t="s">
        <v>2037</v>
      </c>
      <c r="E47" s="32" t="s">
        <v>2303</v>
      </c>
      <c r="F47" s="32"/>
      <c r="G47" s="32" t="s">
        <v>2303</v>
      </c>
      <c r="H47" s="32"/>
      <c r="I47" s="32"/>
      <c r="J47" s="32"/>
      <c r="K47" s="32"/>
      <c r="L47" s="30">
        <v>5010</v>
      </c>
      <c r="M47" s="32" t="s">
        <v>2304</v>
      </c>
      <c r="N47" s="5"/>
    </row>
    <row r="48" spans="1:14">
      <c r="A48" s="31"/>
      <c r="B48" s="30">
        <v>9943</v>
      </c>
      <c r="C48" s="30">
        <v>20764</v>
      </c>
      <c r="D48" s="30">
        <v>3693</v>
      </c>
      <c r="E48" s="30">
        <v>249</v>
      </c>
      <c r="F48" s="30"/>
      <c r="G48" s="30">
        <v>299</v>
      </c>
      <c r="H48" s="30"/>
      <c r="I48" s="30"/>
      <c r="J48" s="30"/>
      <c r="K48" s="30"/>
      <c r="L48" s="30"/>
      <c r="M48" s="33"/>
      <c r="N48" s="5"/>
    </row>
    <row r="49" spans="1:14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5"/>
    </row>
    <row r="50" spans="1:14">
      <c r="A50" s="11" t="s">
        <v>110</v>
      </c>
      <c r="B50" s="12" t="s">
        <v>2305</v>
      </c>
      <c r="C50" s="12" t="s">
        <v>1627</v>
      </c>
      <c r="D50" s="12" t="s">
        <v>1627</v>
      </c>
      <c r="E50" s="12"/>
      <c r="F50" s="12"/>
      <c r="G50" s="12" t="s">
        <v>2305</v>
      </c>
      <c r="H50" s="12" t="s">
        <v>2306</v>
      </c>
      <c r="I50" s="12"/>
      <c r="J50" s="12"/>
      <c r="K50" s="12"/>
      <c r="L50" s="13">
        <v>3897</v>
      </c>
      <c r="M50" s="12" t="s">
        <v>2041</v>
      </c>
      <c r="N50" s="5"/>
    </row>
    <row r="51" spans="1:14">
      <c r="A51" s="5"/>
      <c r="B51" s="13">
        <v>10771</v>
      </c>
      <c r="C51" s="13">
        <v>20833</v>
      </c>
      <c r="D51" s="13">
        <v>3018</v>
      </c>
      <c r="E51" s="13"/>
      <c r="F51" s="13"/>
      <c r="G51" s="13">
        <v>286</v>
      </c>
      <c r="H51" s="13">
        <v>838</v>
      </c>
      <c r="I51" s="13"/>
      <c r="J51" s="13"/>
      <c r="K51" s="13"/>
      <c r="L51" s="13"/>
      <c r="M51" s="14"/>
      <c r="N51" s="5"/>
    </row>
    <row r="52" spans="1:14">
      <c r="A52" s="5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5"/>
    </row>
    <row r="53" spans="1:14">
      <c r="A53" s="28" t="s">
        <v>114</v>
      </c>
      <c r="B53" s="32" t="s">
        <v>2307</v>
      </c>
      <c r="C53" s="32" t="s">
        <v>2308</v>
      </c>
      <c r="D53" s="32" t="s">
        <v>2308</v>
      </c>
      <c r="E53" s="32" t="s">
        <v>2309</v>
      </c>
      <c r="F53" s="32"/>
      <c r="G53" s="32" t="s">
        <v>2475</v>
      </c>
      <c r="H53" s="32"/>
      <c r="I53" s="32"/>
      <c r="J53" s="32"/>
      <c r="K53" s="29"/>
      <c r="L53" s="30">
        <v>3675</v>
      </c>
      <c r="M53" s="32" t="s">
        <v>2310</v>
      </c>
      <c r="N53" s="5"/>
    </row>
    <row r="54" spans="1:14">
      <c r="A54" s="31"/>
      <c r="B54" s="30">
        <v>25256</v>
      </c>
      <c r="C54" s="30">
        <v>11284</v>
      </c>
      <c r="D54" s="30">
        <v>1743</v>
      </c>
      <c r="E54" s="30">
        <v>516</v>
      </c>
      <c r="F54" s="30"/>
      <c r="G54" s="30">
        <v>764</v>
      </c>
      <c r="H54" s="30"/>
      <c r="I54" s="30"/>
      <c r="J54" s="30"/>
      <c r="K54" s="30"/>
      <c r="L54" s="30"/>
      <c r="M54" s="33"/>
      <c r="N54" s="5"/>
    </row>
    <row r="55" spans="1:14">
      <c r="A55" s="5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5"/>
    </row>
    <row r="56" spans="1:14">
      <c r="A56" s="11" t="s">
        <v>128</v>
      </c>
      <c r="B56" s="12" t="s">
        <v>2311</v>
      </c>
      <c r="C56" s="12" t="s">
        <v>1632</v>
      </c>
      <c r="D56" s="12" t="s">
        <v>1632</v>
      </c>
      <c r="E56" s="12"/>
      <c r="F56" s="12"/>
      <c r="G56" s="12" t="s">
        <v>2311</v>
      </c>
      <c r="H56" s="12" t="s">
        <v>1834</v>
      </c>
      <c r="I56" s="12"/>
      <c r="J56" s="12"/>
      <c r="K56" s="12"/>
      <c r="L56" s="13">
        <v>5051</v>
      </c>
      <c r="M56" s="12" t="s">
        <v>1633</v>
      </c>
      <c r="N56" s="5"/>
    </row>
    <row r="57" spans="1:14">
      <c r="A57" s="5"/>
      <c r="B57" s="13">
        <v>10126</v>
      </c>
      <c r="C57" s="13">
        <v>21473</v>
      </c>
      <c r="D57" s="13">
        <v>3651</v>
      </c>
      <c r="E57" s="13"/>
      <c r="F57" s="13"/>
      <c r="G57" s="13">
        <v>263</v>
      </c>
      <c r="H57" s="13">
        <v>1311</v>
      </c>
      <c r="I57" s="13"/>
      <c r="J57" s="13"/>
      <c r="K57" s="13"/>
      <c r="L57" s="13"/>
      <c r="M57" s="14"/>
      <c r="N57" s="5"/>
    </row>
    <row r="58" spans="1:14">
      <c r="A58" s="5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5"/>
    </row>
    <row r="59" spans="1:14">
      <c r="A59" s="28" t="s">
        <v>133</v>
      </c>
      <c r="B59" s="32" t="s">
        <v>2312</v>
      </c>
      <c r="C59" s="32" t="s">
        <v>2313</v>
      </c>
      <c r="D59" s="32" t="s">
        <v>2313</v>
      </c>
      <c r="E59" s="32"/>
      <c r="F59" s="32"/>
      <c r="G59" s="32" t="s">
        <v>2312</v>
      </c>
      <c r="H59" s="32" t="s">
        <v>2314</v>
      </c>
      <c r="I59" s="32"/>
      <c r="J59" s="32"/>
      <c r="K59" s="32"/>
      <c r="L59" s="30">
        <v>3357</v>
      </c>
      <c r="M59" s="32" t="s">
        <v>2315</v>
      </c>
      <c r="N59" s="5"/>
    </row>
    <row r="60" spans="1:14">
      <c r="A60" s="31"/>
      <c r="B60" s="30">
        <v>16258</v>
      </c>
      <c r="C60" s="30">
        <v>5423</v>
      </c>
      <c r="D60" s="30">
        <v>692</v>
      </c>
      <c r="E60" s="30"/>
      <c r="F60" s="30"/>
      <c r="G60" s="30">
        <v>339</v>
      </c>
      <c r="H60" s="30">
        <v>387</v>
      </c>
      <c r="I60" s="30"/>
      <c r="J60" s="30"/>
      <c r="K60" s="30"/>
      <c r="L60" s="30"/>
      <c r="M60" s="33"/>
      <c r="N60" s="5"/>
    </row>
    <row r="61" spans="1:14">
      <c r="A61" s="5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5"/>
    </row>
    <row r="62" spans="1:14">
      <c r="A62" s="11" t="s">
        <v>138</v>
      </c>
      <c r="B62" s="12" t="s">
        <v>2316</v>
      </c>
      <c r="C62" s="12" t="s">
        <v>285</v>
      </c>
      <c r="D62" s="12" t="s">
        <v>285</v>
      </c>
      <c r="E62" s="12"/>
      <c r="F62" s="12"/>
      <c r="G62" s="12" t="s">
        <v>2316</v>
      </c>
      <c r="H62" s="12" t="s">
        <v>2317</v>
      </c>
      <c r="I62" s="12"/>
      <c r="J62" s="12"/>
      <c r="K62" s="12"/>
      <c r="L62" s="13">
        <v>5146</v>
      </c>
      <c r="M62" s="12" t="s">
        <v>2049</v>
      </c>
      <c r="N62" s="5"/>
    </row>
    <row r="63" spans="1:14">
      <c r="A63" s="5"/>
      <c r="B63" s="13">
        <v>13150</v>
      </c>
      <c r="C63" s="13">
        <v>18694</v>
      </c>
      <c r="D63" s="13">
        <v>2697</v>
      </c>
      <c r="E63" s="13"/>
      <c r="F63" s="13"/>
      <c r="G63" s="13">
        <v>404</v>
      </c>
      <c r="H63" s="13">
        <v>997</v>
      </c>
      <c r="I63" s="13"/>
      <c r="J63" s="13"/>
      <c r="K63" s="13"/>
      <c r="L63" s="13"/>
      <c r="M63" s="14"/>
      <c r="N63" s="5"/>
    </row>
    <row r="64" spans="1:14">
      <c r="A64" s="5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5"/>
    </row>
    <row r="65" spans="1:14">
      <c r="A65" s="28" t="s">
        <v>141</v>
      </c>
      <c r="B65" s="32" t="s">
        <v>947</v>
      </c>
      <c r="C65" s="32" t="s">
        <v>2318</v>
      </c>
      <c r="D65" s="32" t="s">
        <v>2318</v>
      </c>
      <c r="E65" s="32" t="s">
        <v>1637</v>
      </c>
      <c r="F65" s="32"/>
      <c r="G65" s="32" t="s">
        <v>1637</v>
      </c>
      <c r="H65" s="32"/>
      <c r="I65" s="32"/>
      <c r="J65" s="32"/>
      <c r="K65" s="29"/>
      <c r="L65" s="30">
        <v>4462</v>
      </c>
      <c r="M65" s="32" t="s">
        <v>951</v>
      </c>
      <c r="N65" s="5"/>
    </row>
    <row r="66" spans="1:14">
      <c r="A66" s="31"/>
      <c r="B66" s="30">
        <v>24109</v>
      </c>
      <c r="C66" s="30">
        <v>11816</v>
      </c>
      <c r="D66" s="30">
        <v>1404</v>
      </c>
      <c r="E66" s="30">
        <v>493</v>
      </c>
      <c r="F66" s="30"/>
      <c r="G66" s="30">
        <v>458</v>
      </c>
      <c r="H66" s="30"/>
      <c r="I66" s="30"/>
      <c r="J66" s="30"/>
      <c r="K66" s="30"/>
      <c r="L66" s="30"/>
      <c r="M66" s="33"/>
      <c r="N66" s="5"/>
    </row>
    <row r="67" spans="1:14">
      <c r="A67" s="5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5"/>
    </row>
    <row r="68" spans="1:14">
      <c r="A68" s="11" t="s">
        <v>147</v>
      </c>
      <c r="B68" s="12" t="s">
        <v>2319</v>
      </c>
      <c r="C68" s="12" t="s">
        <v>2320</v>
      </c>
      <c r="D68" s="12" t="s">
        <v>2320</v>
      </c>
      <c r="E68" s="12"/>
      <c r="F68" s="12"/>
      <c r="G68" s="12" t="s">
        <v>2319</v>
      </c>
      <c r="H68" s="12" t="s">
        <v>2321</v>
      </c>
      <c r="I68" s="12"/>
      <c r="J68" s="12"/>
      <c r="K68" s="12"/>
      <c r="L68" s="13">
        <v>5857</v>
      </c>
      <c r="M68" s="12" t="s">
        <v>2322</v>
      </c>
      <c r="N68" s="5"/>
    </row>
    <row r="69" spans="1:14">
      <c r="A69" s="5"/>
      <c r="B69" s="13">
        <v>11767</v>
      </c>
      <c r="C69" s="13">
        <v>19762</v>
      </c>
      <c r="D69" s="13">
        <v>2979</v>
      </c>
      <c r="E69" s="13"/>
      <c r="F69" s="13"/>
      <c r="G69" s="13">
        <v>336</v>
      </c>
      <c r="H69" s="13">
        <v>1462</v>
      </c>
      <c r="I69" s="13"/>
      <c r="J69" s="13"/>
      <c r="K69" s="13"/>
      <c r="L69" s="13"/>
      <c r="M69" s="14"/>
      <c r="N69" s="5"/>
    </row>
    <row r="70" spans="1:14">
      <c r="A70" s="5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5"/>
    </row>
    <row r="71" spans="1:14">
      <c r="A71" s="34" t="s">
        <v>152</v>
      </c>
      <c r="B71" s="32" t="s">
        <v>2051</v>
      </c>
      <c r="C71" s="32" t="s">
        <v>2052</v>
      </c>
      <c r="D71" s="32" t="s">
        <v>2052</v>
      </c>
      <c r="E71" s="32"/>
      <c r="F71" s="32"/>
      <c r="G71" s="32" t="s">
        <v>2053</v>
      </c>
      <c r="H71" s="32" t="s">
        <v>2323</v>
      </c>
      <c r="I71" s="32"/>
      <c r="J71" s="32"/>
      <c r="K71" s="32"/>
      <c r="L71" s="30">
        <v>4683</v>
      </c>
      <c r="M71" s="32" t="s">
        <v>1313</v>
      </c>
      <c r="N71" s="5"/>
    </row>
    <row r="72" spans="1:14">
      <c r="A72" s="31"/>
      <c r="B72" s="30">
        <v>10327</v>
      </c>
      <c r="C72" s="30">
        <v>18677</v>
      </c>
      <c r="D72" s="30">
        <v>2770</v>
      </c>
      <c r="E72" s="30"/>
      <c r="F72" s="30"/>
      <c r="G72" s="30">
        <v>229</v>
      </c>
      <c r="H72" s="30">
        <v>1138</v>
      </c>
      <c r="I72" s="30"/>
      <c r="J72" s="30"/>
      <c r="K72" s="30"/>
      <c r="L72" s="30"/>
      <c r="M72" s="33"/>
      <c r="N72" s="5"/>
    </row>
    <row r="73" spans="1:14">
      <c r="A73" s="5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5"/>
    </row>
    <row r="74" spans="1:14">
      <c r="A74" s="11" t="s">
        <v>156</v>
      </c>
      <c r="B74" s="12" t="s">
        <v>1110</v>
      </c>
      <c r="C74" s="12"/>
      <c r="D74" s="12"/>
      <c r="E74" s="12" t="s">
        <v>2324</v>
      </c>
      <c r="F74" s="12"/>
      <c r="G74" s="12" t="s">
        <v>2324</v>
      </c>
      <c r="H74" s="12"/>
      <c r="I74" s="12"/>
      <c r="J74" s="12"/>
      <c r="K74" s="12"/>
      <c r="L74" s="13">
        <v>11464</v>
      </c>
      <c r="M74" s="12" t="s">
        <v>1113</v>
      </c>
      <c r="N74" s="5"/>
    </row>
    <row r="75" spans="1:14">
      <c r="A75" s="5"/>
      <c r="B75" s="13">
        <v>15495</v>
      </c>
      <c r="C75" s="13"/>
      <c r="D75" s="13"/>
      <c r="E75" s="13">
        <v>771</v>
      </c>
      <c r="F75" s="13"/>
      <c r="G75" s="13">
        <v>367</v>
      </c>
      <c r="H75" s="13"/>
      <c r="I75" s="13"/>
      <c r="J75" s="13"/>
      <c r="K75" s="13"/>
      <c r="L75" s="13"/>
      <c r="M75" s="14"/>
      <c r="N75" s="5"/>
    </row>
    <row r="76" spans="1:14">
      <c r="A76" s="5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5"/>
    </row>
    <row r="77" spans="1:14">
      <c r="A77" s="34" t="s">
        <v>163</v>
      </c>
      <c r="B77" s="32" t="s">
        <v>164</v>
      </c>
      <c r="C77" s="32" t="s">
        <v>2325</v>
      </c>
      <c r="D77" s="32" t="s">
        <v>2325</v>
      </c>
      <c r="E77" s="32" t="s">
        <v>2326</v>
      </c>
      <c r="F77" s="32"/>
      <c r="G77" s="32" t="s">
        <v>2326</v>
      </c>
      <c r="H77" s="32"/>
      <c r="I77" s="32"/>
      <c r="J77" s="32"/>
      <c r="K77" s="29"/>
      <c r="L77" s="30">
        <v>7343</v>
      </c>
      <c r="M77" s="32" t="s">
        <v>1476</v>
      </c>
      <c r="N77" s="5"/>
    </row>
    <row r="78" spans="1:14">
      <c r="A78" s="31"/>
      <c r="B78" s="30">
        <v>19294</v>
      </c>
      <c r="C78" s="30">
        <v>5678</v>
      </c>
      <c r="D78" s="30">
        <v>1332</v>
      </c>
      <c r="E78" s="30">
        <v>617</v>
      </c>
      <c r="F78" s="30"/>
      <c r="G78" s="30">
        <v>545</v>
      </c>
      <c r="H78" s="30"/>
      <c r="I78" s="30"/>
      <c r="J78" s="30"/>
      <c r="K78" s="30"/>
      <c r="L78" s="30"/>
      <c r="M78" s="33"/>
      <c r="N78" s="5"/>
    </row>
    <row r="79" spans="1:14">
      <c r="A79" s="5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5"/>
    </row>
    <row r="80" spans="1:14">
      <c r="A80" s="11" t="s">
        <v>168</v>
      </c>
      <c r="B80" s="12" t="s">
        <v>1642</v>
      </c>
      <c r="C80" s="12"/>
      <c r="D80" s="12"/>
      <c r="E80" s="12" t="s">
        <v>2327</v>
      </c>
      <c r="F80" s="12"/>
      <c r="G80" s="12" t="s">
        <v>2327</v>
      </c>
      <c r="H80" s="12"/>
      <c r="I80" s="12"/>
      <c r="J80" s="12"/>
      <c r="K80" s="12"/>
      <c r="L80" s="13">
        <v>7634</v>
      </c>
      <c r="M80" s="12" t="s">
        <v>1643</v>
      </c>
      <c r="N80" s="5"/>
    </row>
    <row r="81" spans="1:14">
      <c r="A81" s="5"/>
      <c r="B81" s="13">
        <v>9647</v>
      </c>
      <c r="C81" s="13"/>
      <c r="D81" s="13"/>
      <c r="E81" s="13">
        <v>510</v>
      </c>
      <c r="F81" s="13"/>
      <c r="G81" s="13">
        <v>251</v>
      </c>
      <c r="H81" s="13"/>
      <c r="I81" s="13"/>
      <c r="J81" s="13"/>
      <c r="K81" s="13"/>
      <c r="L81" s="13"/>
      <c r="M81" s="14"/>
      <c r="N81" s="5"/>
    </row>
    <row r="82" spans="1:14">
      <c r="A82" s="5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5"/>
    </row>
    <row r="83" spans="1:14">
      <c r="A83" s="28" t="s">
        <v>174</v>
      </c>
      <c r="B83" s="32" t="s">
        <v>1316</v>
      </c>
      <c r="C83" s="32" t="s">
        <v>2328</v>
      </c>
      <c r="D83" s="32" t="s">
        <v>2329</v>
      </c>
      <c r="E83" s="32" t="s">
        <v>1440</v>
      </c>
      <c r="F83" s="32"/>
      <c r="G83" s="32"/>
      <c r="H83" s="32"/>
      <c r="I83" s="32"/>
      <c r="J83" s="32"/>
      <c r="K83" s="32"/>
      <c r="L83" s="30">
        <v>5614</v>
      </c>
      <c r="M83" s="32" t="s">
        <v>1318</v>
      </c>
      <c r="N83" s="5"/>
    </row>
    <row r="84" spans="1:14">
      <c r="A84" s="31"/>
      <c r="B84" s="30">
        <v>17308</v>
      </c>
      <c r="C84" s="30">
        <v>9390</v>
      </c>
      <c r="D84" s="30">
        <v>2038</v>
      </c>
      <c r="E84" s="30">
        <v>1021</v>
      </c>
      <c r="F84" s="30"/>
      <c r="G84" s="30"/>
      <c r="H84" s="30"/>
      <c r="I84" s="30"/>
      <c r="J84" s="30"/>
      <c r="K84" s="30"/>
      <c r="L84" s="30"/>
      <c r="M84" s="33"/>
      <c r="N84" s="5"/>
    </row>
    <row r="85" spans="1:14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>
      <c r="A86" s="8" t="s">
        <v>176</v>
      </c>
      <c r="B86" s="12" t="s">
        <v>1119</v>
      </c>
      <c r="C86" s="12"/>
      <c r="D86" s="12"/>
      <c r="E86" s="12" t="s">
        <v>2330</v>
      </c>
      <c r="F86" s="12"/>
      <c r="G86" s="12" t="s">
        <v>2330</v>
      </c>
      <c r="H86" s="12"/>
      <c r="I86" s="12"/>
      <c r="J86" s="12"/>
      <c r="K86" s="15"/>
      <c r="L86" s="13">
        <v>11206</v>
      </c>
      <c r="M86" s="12" t="s">
        <v>1121</v>
      </c>
      <c r="N86" s="5"/>
    </row>
    <row r="87" spans="1:14">
      <c r="A87" s="5"/>
      <c r="B87" s="13">
        <v>15246</v>
      </c>
      <c r="C87" s="13"/>
      <c r="D87" s="13"/>
      <c r="E87" s="13">
        <v>513</v>
      </c>
      <c r="F87" s="13"/>
      <c r="G87" s="13">
        <v>446</v>
      </c>
      <c r="H87" s="13"/>
      <c r="I87" s="13"/>
      <c r="J87" s="13"/>
      <c r="K87" s="13"/>
      <c r="L87" s="13"/>
      <c r="M87" s="14"/>
      <c r="N87" s="5"/>
    </row>
    <row r="88" spans="1:14">
      <c r="A88" s="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4"/>
      <c r="N88" s="5"/>
    </row>
    <row r="89" spans="1:14">
      <c r="A89" s="34" t="s">
        <v>179</v>
      </c>
      <c r="B89" s="32" t="s">
        <v>1458</v>
      </c>
      <c r="C89" s="32" t="s">
        <v>559</v>
      </c>
      <c r="D89" s="32" t="s">
        <v>559</v>
      </c>
      <c r="E89" s="32" t="s">
        <v>559</v>
      </c>
      <c r="F89" s="32"/>
      <c r="G89" s="32" t="s">
        <v>559</v>
      </c>
      <c r="H89" s="32"/>
      <c r="I89" s="32"/>
      <c r="J89" s="32"/>
      <c r="K89" s="32"/>
      <c r="L89" s="30">
        <v>7052</v>
      </c>
      <c r="M89" s="29" t="s">
        <v>1845</v>
      </c>
      <c r="N89" s="5"/>
    </row>
    <row r="90" spans="1:14">
      <c r="A90" s="31"/>
      <c r="B90" s="30">
        <v>15970</v>
      </c>
      <c r="C90" s="30">
        <v>6356</v>
      </c>
      <c r="D90" s="30">
        <v>1107</v>
      </c>
      <c r="E90" s="30">
        <v>300</v>
      </c>
      <c r="F90" s="30"/>
      <c r="G90" s="30">
        <v>503</v>
      </c>
      <c r="H90" s="30"/>
      <c r="I90" s="30"/>
      <c r="J90" s="30"/>
      <c r="K90" s="30"/>
      <c r="L90" s="30"/>
      <c r="M90" s="33"/>
      <c r="N90" s="5"/>
    </row>
    <row r="91" spans="1:14">
      <c r="A91" s="5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5"/>
    </row>
    <row r="92" spans="1:14">
      <c r="A92" s="11" t="s">
        <v>181</v>
      </c>
      <c r="B92" s="12" t="s">
        <v>790</v>
      </c>
      <c r="C92" s="12"/>
      <c r="D92" s="12"/>
      <c r="E92" s="12" t="s">
        <v>587</v>
      </c>
      <c r="F92" s="12"/>
      <c r="G92" s="12" t="s">
        <v>790</v>
      </c>
      <c r="H92" s="12" t="s">
        <v>587</v>
      </c>
      <c r="I92" s="12"/>
      <c r="J92" s="12"/>
      <c r="K92" s="15"/>
      <c r="L92" s="13">
        <v>7289</v>
      </c>
      <c r="M92" s="15" t="s">
        <v>792</v>
      </c>
      <c r="N92" s="5"/>
    </row>
    <row r="93" spans="1:14">
      <c r="A93" s="5"/>
      <c r="B93" s="13">
        <v>17462</v>
      </c>
      <c r="C93" s="13"/>
      <c r="D93" s="13"/>
      <c r="E93" s="13">
        <v>446</v>
      </c>
      <c r="F93" s="13"/>
      <c r="G93" s="13">
        <v>304</v>
      </c>
      <c r="H93" s="13">
        <v>146</v>
      </c>
      <c r="I93" s="13"/>
      <c r="J93" s="13"/>
      <c r="K93" s="13"/>
      <c r="L93" s="13"/>
      <c r="M93" s="13"/>
      <c r="N93" s="5"/>
    </row>
    <row r="94" spans="1:1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>
      <c r="A95" s="33" t="s">
        <v>4</v>
      </c>
      <c r="B95" s="32" t="s">
        <v>793</v>
      </c>
      <c r="C95" s="32" t="s">
        <v>2331</v>
      </c>
      <c r="D95" s="32" t="s">
        <v>2331</v>
      </c>
      <c r="E95" s="32"/>
      <c r="F95" s="32"/>
      <c r="G95" s="32"/>
      <c r="H95" s="32" t="s">
        <v>2332</v>
      </c>
      <c r="I95" s="32"/>
      <c r="J95" s="32"/>
      <c r="K95" s="32"/>
      <c r="L95" s="30">
        <v>5234</v>
      </c>
      <c r="M95" s="32" t="s">
        <v>794</v>
      </c>
      <c r="N95" s="5"/>
    </row>
    <row r="96" spans="1:14">
      <c r="A96" s="30"/>
      <c r="B96" s="30">
        <v>11124</v>
      </c>
      <c r="C96" s="30">
        <v>5543</v>
      </c>
      <c r="D96" s="30">
        <v>1244</v>
      </c>
      <c r="E96" s="30"/>
      <c r="F96" s="30"/>
      <c r="G96" s="30"/>
      <c r="H96" s="30">
        <v>243</v>
      </c>
      <c r="I96" s="30"/>
      <c r="J96" s="30"/>
      <c r="K96" s="30"/>
      <c r="L96" s="30"/>
      <c r="M96" s="33"/>
      <c r="N96" s="5"/>
    </row>
    <row r="97" spans="1:1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5"/>
    </row>
    <row r="98" spans="1:14">
      <c r="A98" s="14" t="s">
        <v>12</v>
      </c>
      <c r="B98" s="12" t="s">
        <v>2059</v>
      </c>
      <c r="C98" s="12" t="s">
        <v>2060</v>
      </c>
      <c r="D98" s="12" t="s">
        <v>2060</v>
      </c>
      <c r="E98" s="12" t="s">
        <v>2060</v>
      </c>
      <c r="F98" s="12"/>
      <c r="G98" s="12" t="s">
        <v>1734</v>
      </c>
      <c r="H98" s="12"/>
      <c r="I98" s="12"/>
      <c r="J98" s="12"/>
      <c r="K98" s="15" t="s">
        <v>2333</v>
      </c>
      <c r="L98" s="13">
        <v>6022</v>
      </c>
      <c r="M98" s="12" t="s">
        <v>2061</v>
      </c>
      <c r="N98" s="5"/>
    </row>
    <row r="99" spans="1:14">
      <c r="A99" s="13"/>
      <c r="B99" s="13">
        <v>12856</v>
      </c>
      <c r="C99" s="13">
        <v>1110</v>
      </c>
      <c r="D99" s="13">
        <v>310</v>
      </c>
      <c r="E99" s="13">
        <v>224</v>
      </c>
      <c r="F99" s="13"/>
      <c r="G99" s="13">
        <v>427</v>
      </c>
      <c r="H99" s="13"/>
      <c r="I99" s="13"/>
      <c r="J99" s="13"/>
      <c r="K99" s="13">
        <v>489</v>
      </c>
      <c r="L99" s="13"/>
      <c r="M99" s="14"/>
      <c r="N99" s="5"/>
    </row>
    <row r="100" spans="1:1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5"/>
    </row>
    <row r="101" spans="1:14">
      <c r="A101" s="33" t="s">
        <v>19</v>
      </c>
      <c r="B101" s="32" t="s">
        <v>20</v>
      </c>
      <c r="C101" s="32"/>
      <c r="D101" s="32"/>
      <c r="E101" s="32"/>
      <c r="F101" s="32"/>
      <c r="G101" s="32" t="s">
        <v>1441</v>
      </c>
      <c r="H101" s="32"/>
      <c r="I101" s="32"/>
      <c r="J101" s="32"/>
      <c r="K101" s="32"/>
      <c r="L101" s="30">
        <v>7301</v>
      </c>
      <c r="M101" s="32" t="s">
        <v>21</v>
      </c>
      <c r="N101" s="5"/>
    </row>
    <row r="102" spans="1:14">
      <c r="A102" s="30"/>
      <c r="B102" s="30">
        <v>15270</v>
      </c>
      <c r="C102" s="30"/>
      <c r="D102" s="30"/>
      <c r="E102" s="30"/>
      <c r="F102" s="30"/>
      <c r="G102" s="30">
        <v>306</v>
      </c>
      <c r="H102" s="30"/>
      <c r="I102" s="30"/>
      <c r="J102" s="30"/>
      <c r="K102" s="30"/>
      <c r="L102" s="30"/>
      <c r="M102" s="33"/>
      <c r="N102" s="5"/>
    </row>
    <row r="103" spans="1:1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5"/>
    </row>
    <row r="104" spans="1:14">
      <c r="A104" s="14" t="s">
        <v>30</v>
      </c>
      <c r="B104" s="12" t="s">
        <v>795</v>
      </c>
      <c r="C104" s="12"/>
      <c r="D104" s="12" t="s">
        <v>279</v>
      </c>
      <c r="E104" s="12"/>
      <c r="F104" s="12"/>
      <c r="G104" s="12" t="s">
        <v>796</v>
      </c>
      <c r="H104" s="12" t="s">
        <v>2334</v>
      </c>
      <c r="I104" s="12"/>
      <c r="J104" s="12"/>
      <c r="K104" s="12"/>
      <c r="L104" s="13">
        <v>8312</v>
      </c>
      <c r="M104" s="12" t="s">
        <v>797</v>
      </c>
      <c r="N104" s="5"/>
    </row>
    <row r="105" spans="1:14">
      <c r="A105" s="13"/>
      <c r="B105" s="13">
        <v>19997</v>
      </c>
      <c r="C105" s="13"/>
      <c r="D105" s="13">
        <v>770</v>
      </c>
      <c r="E105" s="13"/>
      <c r="F105" s="13"/>
      <c r="G105" s="13">
        <v>373</v>
      </c>
      <c r="H105" s="13">
        <v>401</v>
      </c>
      <c r="I105" s="13"/>
      <c r="J105" s="13"/>
      <c r="K105" s="14"/>
      <c r="L105" s="13"/>
      <c r="M105" s="14"/>
      <c r="N105" s="5"/>
    </row>
    <row r="106" spans="1:1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5"/>
    </row>
    <row r="107" spans="1:14">
      <c r="A107" s="33" t="s">
        <v>34</v>
      </c>
      <c r="B107" s="32" t="s">
        <v>1483</v>
      </c>
      <c r="C107" s="32"/>
      <c r="D107" s="32"/>
      <c r="E107" s="32" t="s">
        <v>2335</v>
      </c>
      <c r="F107" s="32"/>
      <c r="G107" s="32" t="s">
        <v>1605</v>
      </c>
      <c r="H107" s="32"/>
      <c r="I107" s="32"/>
      <c r="J107" s="32"/>
      <c r="K107" s="32"/>
      <c r="L107" s="30">
        <v>5617</v>
      </c>
      <c r="M107" s="32" t="s">
        <v>1484</v>
      </c>
      <c r="N107" s="5"/>
    </row>
    <row r="108" spans="1:14">
      <c r="A108" s="30"/>
      <c r="B108" s="30">
        <v>8739</v>
      </c>
      <c r="C108" s="30"/>
      <c r="D108" s="30"/>
      <c r="E108" s="30">
        <v>692</v>
      </c>
      <c r="F108" s="30"/>
      <c r="G108" s="30">
        <v>232</v>
      </c>
      <c r="H108" s="33"/>
      <c r="I108" s="33"/>
      <c r="J108" s="33"/>
      <c r="K108" s="33"/>
      <c r="L108" s="30"/>
      <c r="M108" s="33"/>
      <c r="N108" s="5"/>
    </row>
    <row r="109" spans="1:1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5"/>
    </row>
    <row r="110" spans="1:14">
      <c r="A110" s="14" t="s">
        <v>41</v>
      </c>
      <c r="B110" s="12" t="s">
        <v>42</v>
      </c>
      <c r="C110" s="12"/>
      <c r="D110" s="12"/>
      <c r="E110" s="12"/>
      <c r="F110" s="12"/>
      <c r="G110" s="12" t="s">
        <v>957</v>
      </c>
      <c r="H110" s="12"/>
      <c r="I110" s="12"/>
      <c r="J110" s="12"/>
      <c r="K110" s="12"/>
      <c r="L110" s="13">
        <v>6204</v>
      </c>
      <c r="M110" s="12" t="s">
        <v>43</v>
      </c>
      <c r="N110" s="5"/>
    </row>
    <row r="111" spans="1:14">
      <c r="A111" s="13"/>
      <c r="B111" s="13">
        <v>10053</v>
      </c>
      <c r="C111" s="13"/>
      <c r="D111" s="13"/>
      <c r="E111" s="13"/>
      <c r="F111" s="13"/>
      <c r="G111" s="13">
        <v>218</v>
      </c>
      <c r="H111" s="14"/>
      <c r="I111" s="14"/>
      <c r="J111" s="14"/>
      <c r="K111" s="14"/>
      <c r="L111" s="13"/>
      <c r="M111" s="14"/>
      <c r="N111" s="5"/>
    </row>
    <row r="112" spans="1:1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5"/>
    </row>
    <row r="113" spans="1:14">
      <c r="A113" s="33" t="s">
        <v>47</v>
      </c>
      <c r="B113" s="32" t="s">
        <v>2181</v>
      </c>
      <c r="C113" s="32" t="s">
        <v>2336</v>
      </c>
      <c r="D113" s="32" t="s">
        <v>2336</v>
      </c>
      <c r="E113" s="32" t="s">
        <v>233</v>
      </c>
      <c r="F113" s="32"/>
      <c r="G113" s="32"/>
      <c r="H113" s="32"/>
      <c r="I113" s="32"/>
      <c r="J113" s="32"/>
      <c r="K113" s="32"/>
      <c r="L113" s="30">
        <v>6016</v>
      </c>
      <c r="M113" s="32" t="s">
        <v>2337</v>
      </c>
      <c r="N113" s="5"/>
    </row>
    <row r="114" spans="1:14">
      <c r="A114" s="30"/>
      <c r="B114" s="30">
        <v>11851</v>
      </c>
      <c r="C114" s="30">
        <v>3193</v>
      </c>
      <c r="D114" s="30">
        <v>584</v>
      </c>
      <c r="E114" s="30">
        <v>385</v>
      </c>
      <c r="F114" s="30"/>
      <c r="G114" s="30"/>
      <c r="H114" s="30"/>
      <c r="I114" s="30"/>
      <c r="J114" s="30"/>
      <c r="K114" s="30"/>
      <c r="L114" s="30"/>
      <c r="M114" s="33"/>
      <c r="N114" s="5"/>
    </row>
    <row r="115" spans="1:1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5"/>
    </row>
    <row r="116" spans="1:14">
      <c r="A116" s="14" t="s">
        <v>53</v>
      </c>
      <c r="B116" s="12" t="s">
        <v>54</v>
      </c>
      <c r="C116" s="12" t="s">
        <v>1971</v>
      </c>
      <c r="D116" s="12" t="s">
        <v>1971</v>
      </c>
      <c r="E116" s="12"/>
      <c r="F116" s="12"/>
      <c r="G116" s="12"/>
      <c r="H116" s="12"/>
      <c r="I116" s="12"/>
      <c r="J116" s="12"/>
      <c r="K116" s="12"/>
      <c r="L116" s="13">
        <v>4386</v>
      </c>
      <c r="M116" s="12" t="s">
        <v>55</v>
      </c>
      <c r="N116" s="5"/>
    </row>
    <row r="117" spans="1:14">
      <c r="A117" s="13"/>
      <c r="B117" s="13">
        <v>10602</v>
      </c>
      <c r="C117" s="13">
        <v>2184</v>
      </c>
      <c r="D117" s="13">
        <v>441</v>
      </c>
      <c r="E117" s="13"/>
      <c r="F117" s="13"/>
      <c r="G117" s="13"/>
      <c r="H117" s="13"/>
      <c r="I117" s="13"/>
      <c r="J117" s="13"/>
      <c r="K117" s="13"/>
      <c r="L117" s="13"/>
      <c r="M117" s="14"/>
      <c r="N117" s="5"/>
    </row>
    <row r="118" spans="1:1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5"/>
    </row>
    <row r="119" spans="1:14">
      <c r="A119" s="33" t="s">
        <v>61</v>
      </c>
      <c r="B119" s="32" t="s">
        <v>1323</v>
      </c>
      <c r="C119" s="32"/>
      <c r="D119" s="32" t="s">
        <v>1323</v>
      </c>
      <c r="E119" s="32" t="s">
        <v>2067</v>
      </c>
      <c r="F119" s="32"/>
      <c r="G119" s="32"/>
      <c r="H119" s="32"/>
      <c r="I119" s="32"/>
      <c r="J119" s="32"/>
      <c r="K119" s="32"/>
      <c r="L119" s="30">
        <v>8806</v>
      </c>
      <c r="M119" s="32" t="s">
        <v>1324</v>
      </c>
      <c r="N119" s="5"/>
    </row>
    <row r="120" spans="1:14">
      <c r="A120" s="30"/>
      <c r="B120" s="30">
        <v>10051</v>
      </c>
      <c r="C120" s="30"/>
      <c r="D120" s="30">
        <v>2479</v>
      </c>
      <c r="E120" s="30">
        <v>495</v>
      </c>
      <c r="F120" s="30"/>
      <c r="G120" s="30"/>
      <c r="H120" s="30"/>
      <c r="I120" s="30"/>
      <c r="J120" s="30"/>
      <c r="K120" s="30"/>
      <c r="L120" s="30"/>
      <c r="M120" s="33"/>
      <c r="N120" s="5"/>
    </row>
    <row r="121" spans="1:1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5"/>
    </row>
    <row r="122" spans="1:14">
      <c r="A122" s="14" t="s">
        <v>65</v>
      </c>
      <c r="B122" s="12" t="s">
        <v>1674</v>
      </c>
      <c r="C122" s="12"/>
      <c r="D122" s="12" t="s">
        <v>2338</v>
      </c>
      <c r="E122" s="12"/>
      <c r="F122" s="12"/>
      <c r="G122" s="12"/>
      <c r="H122" s="12"/>
      <c r="I122" s="12"/>
      <c r="J122" s="12"/>
      <c r="K122" s="12"/>
      <c r="L122" s="13">
        <v>12244</v>
      </c>
      <c r="M122" s="12" t="s">
        <v>2339</v>
      </c>
      <c r="N122" s="5"/>
    </row>
    <row r="123" spans="1:14">
      <c r="A123" s="13"/>
      <c r="B123" s="13">
        <v>13259</v>
      </c>
      <c r="C123" s="13"/>
      <c r="D123" s="13">
        <v>1648</v>
      </c>
      <c r="E123" s="13"/>
      <c r="F123" s="13"/>
      <c r="G123" s="13"/>
      <c r="H123" s="14"/>
      <c r="I123" s="14"/>
      <c r="J123" s="14"/>
      <c r="K123" s="14"/>
      <c r="L123" s="13"/>
      <c r="M123" s="14"/>
      <c r="N123" s="5"/>
    </row>
    <row r="124" spans="1:1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5"/>
    </row>
    <row r="125" spans="1:14">
      <c r="A125" s="33" t="s">
        <v>71</v>
      </c>
      <c r="B125" s="32" t="s">
        <v>2340</v>
      </c>
      <c r="C125" s="32" t="s">
        <v>2069</v>
      </c>
      <c r="D125" s="32" t="s">
        <v>2341</v>
      </c>
      <c r="E125" s="32"/>
      <c r="F125" s="32"/>
      <c r="G125" s="32" t="s">
        <v>2257</v>
      </c>
      <c r="H125" s="32"/>
      <c r="I125" s="32"/>
      <c r="J125" s="32"/>
      <c r="K125" s="32"/>
      <c r="L125" s="30">
        <v>6591</v>
      </c>
      <c r="M125" s="32" t="s">
        <v>2342</v>
      </c>
      <c r="N125" s="5"/>
    </row>
    <row r="126" spans="1:14">
      <c r="A126" s="30"/>
      <c r="B126" s="30">
        <v>13070</v>
      </c>
      <c r="C126" s="30">
        <v>326</v>
      </c>
      <c r="D126" s="30">
        <v>204</v>
      </c>
      <c r="E126" s="30"/>
      <c r="F126" s="30"/>
      <c r="G126" s="30">
        <v>223</v>
      </c>
      <c r="H126" s="30"/>
      <c r="I126" s="30"/>
      <c r="J126" s="30"/>
      <c r="K126" s="33"/>
      <c r="L126" s="30"/>
      <c r="M126" s="33"/>
      <c r="N126" s="5"/>
    </row>
    <row r="127" spans="1:1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5"/>
    </row>
    <row r="128" spans="1:14">
      <c r="A128" s="14" t="s">
        <v>75</v>
      </c>
      <c r="B128" s="12" t="s">
        <v>76</v>
      </c>
      <c r="C128" s="12" t="s">
        <v>1818</v>
      </c>
      <c r="D128" s="12" t="s">
        <v>1818</v>
      </c>
      <c r="E128" s="12"/>
      <c r="F128" s="12"/>
      <c r="G128" s="12" t="s">
        <v>306</v>
      </c>
      <c r="H128" s="12"/>
      <c r="I128" s="12"/>
      <c r="J128" s="12"/>
      <c r="K128" s="12"/>
      <c r="L128" s="13">
        <v>7992</v>
      </c>
      <c r="M128" s="12" t="s">
        <v>77</v>
      </c>
      <c r="N128" s="5"/>
    </row>
    <row r="129" spans="1:14">
      <c r="A129" s="13"/>
      <c r="B129" s="13">
        <v>17237</v>
      </c>
      <c r="C129" s="13">
        <v>2516</v>
      </c>
      <c r="D129" s="13">
        <v>648</v>
      </c>
      <c r="E129" s="13"/>
      <c r="F129" s="13"/>
      <c r="G129" s="13">
        <v>473</v>
      </c>
      <c r="H129" s="13"/>
      <c r="I129" s="13"/>
      <c r="J129" s="13"/>
      <c r="K129" s="13"/>
      <c r="L129" s="13"/>
      <c r="M129" s="14"/>
      <c r="N129" s="5"/>
    </row>
    <row r="130" spans="1:1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5"/>
    </row>
    <row r="131" spans="1:14">
      <c r="A131" s="33" t="s">
        <v>82</v>
      </c>
      <c r="B131" s="32" t="s">
        <v>961</v>
      </c>
      <c r="C131" s="32" t="s">
        <v>2070</v>
      </c>
      <c r="D131" s="32"/>
      <c r="E131" s="32"/>
      <c r="F131" s="32"/>
      <c r="G131" s="32" t="s">
        <v>2476</v>
      </c>
      <c r="H131" s="32"/>
      <c r="I131" s="32"/>
      <c r="J131" s="32"/>
      <c r="K131" s="32"/>
      <c r="L131" s="30">
        <v>4737</v>
      </c>
      <c r="M131" s="32" t="s">
        <v>963</v>
      </c>
      <c r="N131" s="31"/>
    </row>
    <row r="132" spans="1:14">
      <c r="A132" s="30"/>
      <c r="B132" s="30">
        <v>11180</v>
      </c>
      <c r="C132" s="30">
        <v>399</v>
      </c>
      <c r="D132" s="30"/>
      <c r="E132" s="30"/>
      <c r="F132" s="30"/>
      <c r="G132" s="30">
        <v>445</v>
      </c>
      <c r="H132" s="33"/>
      <c r="I132" s="33"/>
      <c r="J132" s="33"/>
      <c r="K132" s="30"/>
      <c r="L132" s="30"/>
      <c r="M132" s="33"/>
      <c r="N132" s="31"/>
    </row>
    <row r="133" spans="1:1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5"/>
    </row>
    <row r="134" spans="1:14">
      <c r="A134" s="14" t="s">
        <v>85</v>
      </c>
      <c r="B134" s="12" t="s">
        <v>1651</v>
      </c>
      <c r="C134" s="12" t="s">
        <v>2072</v>
      </c>
      <c r="D134" s="12" t="s">
        <v>2072</v>
      </c>
      <c r="E134" s="12"/>
      <c r="F134" s="12"/>
      <c r="G134" s="12" t="s">
        <v>1155</v>
      </c>
      <c r="H134" s="12"/>
      <c r="I134" s="12"/>
      <c r="J134" s="12"/>
      <c r="K134" s="12"/>
      <c r="L134" s="13">
        <v>4753</v>
      </c>
      <c r="M134" s="12" t="s">
        <v>1652</v>
      </c>
      <c r="N134" s="5"/>
    </row>
    <row r="135" spans="1:14">
      <c r="A135" s="13"/>
      <c r="B135" s="13">
        <v>12290</v>
      </c>
      <c r="C135" s="13">
        <v>313</v>
      </c>
      <c r="D135" s="13">
        <v>235</v>
      </c>
      <c r="E135" s="13"/>
      <c r="F135" s="13"/>
      <c r="G135" s="13">
        <v>2828</v>
      </c>
      <c r="H135" s="13"/>
      <c r="I135" s="13"/>
      <c r="J135" s="13"/>
      <c r="K135" s="13"/>
      <c r="L135" s="13"/>
      <c r="M135" s="14"/>
      <c r="N135" s="5"/>
    </row>
    <row r="136" spans="1:1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5"/>
    </row>
    <row r="137" spans="1:14">
      <c r="A137" s="33" t="s">
        <v>90</v>
      </c>
      <c r="B137" s="32" t="s">
        <v>807</v>
      </c>
      <c r="C137" s="32" t="s">
        <v>2343</v>
      </c>
      <c r="D137" s="32" t="s">
        <v>2343</v>
      </c>
      <c r="E137" s="32"/>
      <c r="F137" s="32" t="s">
        <v>809</v>
      </c>
      <c r="G137" s="32"/>
      <c r="H137" s="32"/>
      <c r="I137" s="32"/>
      <c r="J137" s="32"/>
      <c r="K137" s="32"/>
      <c r="L137" s="30">
        <v>7111</v>
      </c>
      <c r="M137" s="32" t="s">
        <v>810</v>
      </c>
      <c r="N137" s="5"/>
    </row>
    <row r="138" spans="1:14">
      <c r="A138" s="30"/>
      <c r="B138" s="30">
        <v>16263</v>
      </c>
      <c r="C138" s="30">
        <v>2794</v>
      </c>
      <c r="D138" s="30">
        <v>683</v>
      </c>
      <c r="E138" s="30"/>
      <c r="F138" s="30">
        <v>2096</v>
      </c>
      <c r="G138" s="30"/>
      <c r="H138" s="33"/>
      <c r="I138" s="33"/>
      <c r="J138" s="33"/>
      <c r="K138" s="33"/>
      <c r="L138" s="30"/>
      <c r="M138" s="33"/>
      <c r="N138" s="5"/>
    </row>
    <row r="139" spans="1:1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5"/>
    </row>
    <row r="140" spans="1:14">
      <c r="A140" s="14" t="s">
        <v>93</v>
      </c>
      <c r="B140" s="12" t="s">
        <v>188</v>
      </c>
      <c r="C140" s="12" t="s">
        <v>2344</v>
      </c>
      <c r="D140" s="12" t="s">
        <v>2344</v>
      </c>
      <c r="E140" s="12"/>
      <c r="F140" s="12"/>
      <c r="G140" s="12"/>
      <c r="H140" s="12"/>
      <c r="I140" s="12"/>
      <c r="J140" s="12"/>
      <c r="K140" s="12"/>
      <c r="L140" s="13">
        <v>7629</v>
      </c>
      <c r="M140" s="12" t="s">
        <v>2345</v>
      </c>
      <c r="N140" s="5"/>
    </row>
    <row r="141" spans="1:14">
      <c r="A141" s="13"/>
      <c r="B141" s="13">
        <v>12489</v>
      </c>
      <c r="C141" s="13">
        <v>3789</v>
      </c>
      <c r="D141" s="13">
        <v>739</v>
      </c>
      <c r="E141" s="13"/>
      <c r="F141" s="13"/>
      <c r="G141" s="13"/>
      <c r="H141" s="13"/>
      <c r="I141" s="13"/>
      <c r="J141" s="13"/>
      <c r="K141" s="13"/>
      <c r="L141" s="13"/>
      <c r="M141" s="14"/>
      <c r="N141" s="5"/>
    </row>
    <row r="142" spans="1:1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5"/>
    </row>
    <row r="143" spans="1:14">
      <c r="A143" s="33" t="s">
        <v>97</v>
      </c>
      <c r="B143" s="32" t="s">
        <v>1458</v>
      </c>
      <c r="C143" s="32" t="s">
        <v>2346</v>
      </c>
      <c r="D143" s="32" t="s">
        <v>1129</v>
      </c>
      <c r="E143" s="32"/>
      <c r="F143" s="32"/>
      <c r="G143" s="32" t="s">
        <v>1458</v>
      </c>
      <c r="H143" s="32"/>
      <c r="I143" s="32"/>
      <c r="J143" s="32"/>
      <c r="K143" s="32"/>
      <c r="L143" s="30">
        <v>7717</v>
      </c>
      <c r="M143" s="32" t="s">
        <v>1658</v>
      </c>
      <c r="N143" s="5"/>
    </row>
    <row r="144" spans="1:14">
      <c r="A144" s="30"/>
      <c r="B144" s="30">
        <v>10398</v>
      </c>
      <c r="C144" s="30">
        <v>3538</v>
      </c>
      <c r="D144" s="30">
        <v>763</v>
      </c>
      <c r="E144" s="30"/>
      <c r="F144" s="30"/>
      <c r="G144" s="30">
        <v>287</v>
      </c>
      <c r="H144" s="33"/>
      <c r="I144" s="33"/>
      <c r="J144" s="33"/>
      <c r="K144" s="33"/>
      <c r="L144" s="30"/>
      <c r="M144" s="33"/>
      <c r="N144" s="5"/>
    </row>
    <row r="145" spans="1:1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5"/>
    </row>
    <row r="146" spans="1:14">
      <c r="A146" s="14" t="s">
        <v>101</v>
      </c>
      <c r="B146" s="12" t="s">
        <v>2075</v>
      </c>
      <c r="C146" s="12" t="s">
        <v>2347</v>
      </c>
      <c r="D146" s="12" t="s">
        <v>2347</v>
      </c>
      <c r="E146" s="12" t="s">
        <v>2348</v>
      </c>
      <c r="F146" s="12"/>
      <c r="G146" s="12" t="s">
        <v>200</v>
      </c>
      <c r="H146" s="12"/>
      <c r="I146" s="12"/>
      <c r="J146" s="12"/>
      <c r="K146" s="15"/>
      <c r="L146" s="13">
        <v>4875</v>
      </c>
      <c r="M146" s="12" t="s">
        <v>102</v>
      </c>
      <c r="N146" s="5"/>
    </row>
    <row r="147" spans="1:14">
      <c r="A147" s="13"/>
      <c r="B147" s="13">
        <v>9183</v>
      </c>
      <c r="C147" s="13">
        <v>4569</v>
      </c>
      <c r="D147" s="13">
        <v>709</v>
      </c>
      <c r="E147" s="14">
        <v>129</v>
      </c>
      <c r="F147" s="14"/>
      <c r="G147" s="14">
        <v>381</v>
      </c>
      <c r="H147" s="14"/>
      <c r="I147" s="14"/>
      <c r="J147" s="14"/>
      <c r="K147" s="14"/>
      <c r="L147" s="13"/>
      <c r="M147" s="14"/>
      <c r="N147" s="5"/>
    </row>
    <row r="148" spans="1:1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5"/>
    </row>
    <row r="149" spans="1:14">
      <c r="A149" s="33" t="s">
        <v>106</v>
      </c>
      <c r="B149" s="32" t="s">
        <v>107</v>
      </c>
      <c r="C149" s="32" t="s">
        <v>494</v>
      </c>
      <c r="D149" s="32" t="s">
        <v>494</v>
      </c>
      <c r="E149" s="32"/>
      <c r="F149" s="32"/>
      <c r="G149" s="32"/>
      <c r="H149" s="32"/>
      <c r="I149" s="32"/>
      <c r="J149" s="32"/>
      <c r="K149" s="32"/>
      <c r="L149" s="30">
        <v>6651</v>
      </c>
      <c r="M149" s="32" t="s">
        <v>108</v>
      </c>
      <c r="N149" s="5"/>
    </row>
    <row r="150" spans="1:14">
      <c r="A150" s="30"/>
      <c r="B150" s="30">
        <v>10518</v>
      </c>
      <c r="C150" s="30">
        <v>3094</v>
      </c>
      <c r="D150" s="30">
        <v>664</v>
      </c>
      <c r="E150" s="33"/>
      <c r="F150" s="33"/>
      <c r="G150" s="33"/>
      <c r="H150" s="33"/>
      <c r="I150" s="33"/>
      <c r="J150" s="33"/>
      <c r="K150" s="33"/>
      <c r="L150" s="30"/>
      <c r="M150" s="33"/>
      <c r="N150" s="5"/>
    </row>
    <row r="151" spans="1:1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5"/>
    </row>
    <row r="152" spans="1:14">
      <c r="A152" s="14" t="s">
        <v>112</v>
      </c>
      <c r="B152" s="12" t="s">
        <v>261</v>
      </c>
      <c r="C152" s="12" t="s">
        <v>2349</v>
      </c>
      <c r="D152" s="12" t="s">
        <v>2349</v>
      </c>
      <c r="E152" s="12" t="s">
        <v>1442</v>
      </c>
      <c r="F152" s="12"/>
      <c r="G152" s="12"/>
      <c r="H152" s="12" t="s">
        <v>2349</v>
      </c>
      <c r="I152" s="12"/>
      <c r="J152" s="12"/>
      <c r="K152" s="12"/>
      <c r="L152" s="13">
        <v>4322</v>
      </c>
      <c r="M152" s="12" t="s">
        <v>262</v>
      </c>
      <c r="N152" s="5"/>
    </row>
    <row r="153" spans="1:14">
      <c r="A153" s="13"/>
      <c r="B153" s="13">
        <v>9692</v>
      </c>
      <c r="C153" s="13">
        <v>4031</v>
      </c>
      <c r="D153" s="13">
        <v>809</v>
      </c>
      <c r="E153" s="14">
        <v>557</v>
      </c>
      <c r="F153" s="14"/>
      <c r="G153" s="14"/>
      <c r="H153" s="14">
        <v>219</v>
      </c>
      <c r="I153" s="14"/>
      <c r="J153" s="14"/>
      <c r="K153" s="14"/>
      <c r="L153" s="13"/>
      <c r="M153" s="14"/>
      <c r="N153" s="5"/>
    </row>
    <row r="154" spans="1:1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5"/>
    </row>
    <row r="155" spans="1:14">
      <c r="A155" s="33" t="s">
        <v>116</v>
      </c>
      <c r="B155" s="32" t="s">
        <v>117</v>
      </c>
      <c r="C155" s="32"/>
      <c r="D155" s="32" t="s">
        <v>2350</v>
      </c>
      <c r="E155" s="32"/>
      <c r="F155" s="32"/>
      <c r="G155" s="32"/>
      <c r="H155" s="32"/>
      <c r="I155" s="32"/>
      <c r="J155" s="32" t="s">
        <v>2350</v>
      </c>
      <c r="K155" s="32"/>
      <c r="L155" s="30">
        <v>7748</v>
      </c>
      <c r="M155" s="32" t="s">
        <v>118</v>
      </c>
      <c r="N155" s="5"/>
    </row>
    <row r="156" spans="1:14">
      <c r="A156" s="30"/>
      <c r="B156" s="30">
        <v>11863</v>
      </c>
      <c r="C156" s="30"/>
      <c r="D156" s="30">
        <v>365</v>
      </c>
      <c r="E156" s="30"/>
      <c r="F156" s="30"/>
      <c r="G156" s="30"/>
      <c r="H156" s="30"/>
      <c r="I156" s="30"/>
      <c r="J156" s="30">
        <v>98</v>
      </c>
      <c r="K156" s="30"/>
      <c r="L156" s="30"/>
      <c r="M156" s="33"/>
      <c r="N156" s="5"/>
    </row>
    <row r="157" spans="1:1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5"/>
    </row>
    <row r="158" spans="1:14">
      <c r="A158" s="14" t="s">
        <v>120</v>
      </c>
      <c r="B158" s="12" t="s">
        <v>121</v>
      </c>
      <c r="C158" s="12" t="s">
        <v>1378</v>
      </c>
      <c r="D158" s="12" t="s">
        <v>1378</v>
      </c>
      <c r="E158" s="12"/>
      <c r="F158" s="12"/>
      <c r="G158" s="12" t="s">
        <v>1134</v>
      </c>
      <c r="H158" s="12"/>
      <c r="I158" s="12"/>
      <c r="J158" s="12"/>
      <c r="K158" s="12"/>
      <c r="L158" s="13">
        <v>4496</v>
      </c>
      <c r="M158" s="12" t="s">
        <v>122</v>
      </c>
      <c r="N158" s="5"/>
    </row>
    <row r="159" spans="1:14">
      <c r="A159" s="13"/>
      <c r="B159" s="13">
        <v>10236</v>
      </c>
      <c r="C159" s="13">
        <v>1152</v>
      </c>
      <c r="D159" s="13">
        <v>279</v>
      </c>
      <c r="E159" s="13"/>
      <c r="F159" s="13"/>
      <c r="G159" s="13">
        <v>347</v>
      </c>
      <c r="H159" s="13"/>
      <c r="I159" s="13"/>
      <c r="J159" s="13"/>
      <c r="K159" s="13"/>
      <c r="L159" s="13"/>
      <c r="M159" s="14"/>
      <c r="N159" s="5"/>
    </row>
    <row r="160" spans="1:1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5"/>
    </row>
    <row r="161" spans="1:14">
      <c r="A161" s="33" t="s">
        <v>134</v>
      </c>
      <c r="B161" s="32" t="s">
        <v>972</v>
      </c>
      <c r="C161" s="32" t="s">
        <v>1659</v>
      </c>
      <c r="D161" s="32" t="s">
        <v>1659</v>
      </c>
      <c r="E161" s="32"/>
      <c r="F161" s="32"/>
      <c r="G161" s="32" t="s">
        <v>972</v>
      </c>
      <c r="H161" s="32"/>
      <c r="I161" s="32" t="s">
        <v>2477</v>
      </c>
      <c r="J161" s="32"/>
      <c r="K161" s="32"/>
      <c r="L161" s="30">
        <v>6767</v>
      </c>
      <c r="M161" s="32" t="s">
        <v>974</v>
      </c>
      <c r="N161" s="5"/>
    </row>
    <row r="162" spans="1:14">
      <c r="A162" s="30"/>
      <c r="B162" s="30">
        <v>18512</v>
      </c>
      <c r="C162" s="30">
        <v>5319</v>
      </c>
      <c r="D162" s="30">
        <v>1234</v>
      </c>
      <c r="E162" s="30"/>
      <c r="F162" s="30"/>
      <c r="G162" s="30">
        <v>747</v>
      </c>
      <c r="H162" s="30"/>
      <c r="I162" s="30">
        <v>902</v>
      </c>
      <c r="J162" s="30"/>
      <c r="K162" s="30"/>
      <c r="L162" s="30"/>
      <c r="M162" s="33"/>
      <c r="N162" s="5"/>
    </row>
    <row r="163" spans="1:14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>
      <c r="A164" s="14" t="s">
        <v>139</v>
      </c>
      <c r="B164" s="12" t="s">
        <v>975</v>
      </c>
      <c r="C164" s="12" t="s">
        <v>1448</v>
      </c>
      <c r="D164" s="12" t="s">
        <v>2351</v>
      </c>
      <c r="E164" s="12"/>
      <c r="F164" s="12"/>
      <c r="G164" s="12" t="s">
        <v>270</v>
      </c>
      <c r="H164" s="12"/>
      <c r="I164" s="12"/>
      <c r="J164" s="12"/>
      <c r="K164" s="12" t="s">
        <v>2352</v>
      </c>
      <c r="L164" s="13">
        <v>4425</v>
      </c>
      <c r="M164" s="12" t="s">
        <v>977</v>
      </c>
      <c r="N164" s="5"/>
    </row>
    <row r="165" spans="1:14">
      <c r="A165" s="13" t="s">
        <v>978</v>
      </c>
      <c r="B165" s="13">
        <v>9877</v>
      </c>
      <c r="C165" s="13">
        <v>561</v>
      </c>
      <c r="D165" s="13">
        <v>172</v>
      </c>
      <c r="E165" s="13"/>
      <c r="F165" s="13"/>
      <c r="G165" s="13">
        <v>272</v>
      </c>
      <c r="H165" s="14"/>
      <c r="I165" s="14"/>
      <c r="J165" s="14"/>
      <c r="K165" s="14">
        <v>77</v>
      </c>
      <c r="L165" s="13"/>
      <c r="M165" s="14"/>
      <c r="N165" s="5"/>
    </row>
    <row r="166" spans="1:1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5"/>
    </row>
    <row r="167" spans="1:14">
      <c r="A167" s="33" t="s">
        <v>142</v>
      </c>
      <c r="B167" s="32" t="s">
        <v>1137</v>
      </c>
      <c r="C167" s="32" t="s">
        <v>2083</v>
      </c>
      <c r="D167" s="32" t="s">
        <v>809</v>
      </c>
      <c r="E167" s="32"/>
      <c r="F167" s="32"/>
      <c r="G167" s="32" t="s">
        <v>1138</v>
      </c>
      <c r="H167" s="32"/>
      <c r="I167" s="32"/>
      <c r="J167" s="32"/>
      <c r="K167" s="32" t="s">
        <v>2353</v>
      </c>
      <c r="L167" s="30">
        <v>4912</v>
      </c>
      <c r="M167" s="32" t="s">
        <v>1139</v>
      </c>
      <c r="N167" s="5"/>
    </row>
    <row r="168" spans="1:14">
      <c r="A168" s="30"/>
      <c r="B168" s="30">
        <v>8696</v>
      </c>
      <c r="C168" s="30">
        <v>519</v>
      </c>
      <c r="D168" s="30">
        <v>137</v>
      </c>
      <c r="E168" s="30"/>
      <c r="F168" s="30"/>
      <c r="G168" s="30">
        <v>178</v>
      </c>
      <c r="H168" s="33"/>
      <c r="I168" s="33"/>
      <c r="J168" s="33"/>
      <c r="K168" s="33">
        <v>38</v>
      </c>
      <c r="L168" s="30"/>
      <c r="M168" s="33"/>
      <c r="N168" s="5"/>
    </row>
    <row r="169" spans="1:1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5"/>
    </row>
    <row r="170" spans="1:14">
      <c r="A170" s="14" t="s">
        <v>145</v>
      </c>
      <c r="B170" s="12" t="s">
        <v>1861</v>
      </c>
      <c r="C170" s="12" t="s">
        <v>2354</v>
      </c>
      <c r="D170" s="12"/>
      <c r="E170" s="12"/>
      <c r="F170" s="12"/>
      <c r="G170" s="12" t="s">
        <v>1863</v>
      </c>
      <c r="H170" s="12"/>
      <c r="I170" s="12"/>
      <c r="J170" s="12"/>
      <c r="K170" s="12"/>
      <c r="L170" s="13">
        <v>5366</v>
      </c>
      <c r="M170" s="12" t="s">
        <v>2085</v>
      </c>
      <c r="N170" s="5"/>
    </row>
    <row r="171" spans="1:14">
      <c r="A171" s="13"/>
      <c r="B171" s="13">
        <v>13149</v>
      </c>
      <c r="C171" s="13">
        <v>362</v>
      </c>
      <c r="D171" s="13"/>
      <c r="E171" s="13"/>
      <c r="F171" s="13"/>
      <c r="G171" s="13">
        <v>258</v>
      </c>
      <c r="H171" s="14"/>
      <c r="I171" s="14"/>
      <c r="J171" s="14"/>
      <c r="K171" s="14"/>
      <c r="L171" s="13"/>
      <c r="M171" s="14"/>
      <c r="N171" s="5"/>
    </row>
    <row r="172" spans="1:1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5"/>
    </row>
    <row r="173" spans="1:14">
      <c r="A173" s="33" t="s">
        <v>150</v>
      </c>
      <c r="B173" s="32" t="s">
        <v>2086</v>
      </c>
      <c r="C173" s="32" t="s">
        <v>2355</v>
      </c>
      <c r="D173" s="32"/>
      <c r="E173" s="32" t="s">
        <v>668</v>
      </c>
      <c r="F173" s="32"/>
      <c r="G173" s="32"/>
      <c r="H173" s="32"/>
      <c r="I173" s="32"/>
      <c r="J173" s="32"/>
      <c r="K173" s="32"/>
      <c r="L173" s="30">
        <v>6129</v>
      </c>
      <c r="M173" s="32" t="s">
        <v>2089</v>
      </c>
      <c r="N173" s="5"/>
    </row>
    <row r="174" spans="1:14">
      <c r="A174" s="30"/>
      <c r="B174" s="30">
        <v>14717</v>
      </c>
      <c r="C174" s="30">
        <v>341</v>
      </c>
      <c r="D174" s="30"/>
      <c r="E174" s="30">
        <v>376</v>
      </c>
      <c r="F174" s="30"/>
      <c r="G174" s="30"/>
      <c r="H174" s="30"/>
      <c r="I174" s="30"/>
      <c r="J174" s="30"/>
      <c r="K174" s="30"/>
      <c r="L174" s="30"/>
      <c r="M174" s="33"/>
      <c r="N174" s="5"/>
    </row>
    <row r="175" spans="1:1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5"/>
    </row>
    <row r="176" spans="1:14">
      <c r="A176" s="14" t="s">
        <v>154</v>
      </c>
      <c r="B176" s="12" t="s">
        <v>1670</v>
      </c>
      <c r="C176" s="12" t="s">
        <v>2356</v>
      </c>
      <c r="D176" s="12"/>
      <c r="E176" s="12"/>
      <c r="F176" s="12"/>
      <c r="G176" s="12"/>
      <c r="H176" s="12"/>
      <c r="I176" s="12"/>
      <c r="J176" s="12"/>
      <c r="K176" s="12"/>
      <c r="L176" s="13">
        <v>6834</v>
      </c>
      <c r="M176" s="12" t="s">
        <v>1672</v>
      </c>
      <c r="N176" s="5"/>
    </row>
    <row r="177" spans="1:14">
      <c r="A177" s="13"/>
      <c r="B177" s="13">
        <v>17508</v>
      </c>
      <c r="C177" s="13">
        <v>606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5"/>
    </row>
    <row r="178" spans="1:1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5"/>
    </row>
    <row r="179" spans="1:14">
      <c r="A179" s="33" t="s">
        <v>158</v>
      </c>
      <c r="B179" s="32" t="s">
        <v>159</v>
      </c>
      <c r="C179" s="32" t="s">
        <v>2357</v>
      </c>
      <c r="D179" s="32" t="s">
        <v>1498</v>
      </c>
      <c r="E179" s="32"/>
      <c r="F179" s="32"/>
      <c r="G179" s="32" t="s">
        <v>504</v>
      </c>
      <c r="H179" s="32"/>
      <c r="I179" s="32"/>
      <c r="J179" s="32"/>
      <c r="K179" s="32"/>
      <c r="L179" s="30">
        <v>4979</v>
      </c>
      <c r="M179" s="32" t="s">
        <v>160</v>
      </c>
      <c r="N179" s="5"/>
    </row>
    <row r="180" spans="1:14">
      <c r="A180" s="30"/>
      <c r="B180" s="30">
        <v>15747</v>
      </c>
      <c r="C180" s="30">
        <v>384</v>
      </c>
      <c r="D180" s="30">
        <v>138</v>
      </c>
      <c r="E180" s="30"/>
      <c r="F180" s="30"/>
      <c r="G180" s="30">
        <v>274</v>
      </c>
      <c r="H180" s="30"/>
      <c r="I180" s="30"/>
      <c r="J180" s="30"/>
      <c r="K180" s="30"/>
      <c r="L180" s="30"/>
      <c r="M180" s="33"/>
      <c r="N180" s="5"/>
    </row>
    <row r="181" spans="1:1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5"/>
    </row>
    <row r="182" spans="1:14">
      <c r="A182" s="14" t="s">
        <v>166</v>
      </c>
      <c r="B182" s="12" t="s">
        <v>2358</v>
      </c>
      <c r="C182" s="12" t="s">
        <v>2359</v>
      </c>
      <c r="D182" s="12" t="s">
        <v>2359</v>
      </c>
      <c r="E182" s="12"/>
      <c r="F182" s="12"/>
      <c r="G182" s="12" t="s">
        <v>2478</v>
      </c>
      <c r="H182" s="12" t="s">
        <v>2360</v>
      </c>
      <c r="I182" s="12"/>
      <c r="J182" s="12"/>
      <c r="K182" s="12"/>
      <c r="L182" s="13">
        <v>4645</v>
      </c>
      <c r="M182" s="12" t="s">
        <v>2361</v>
      </c>
      <c r="N182" s="5"/>
    </row>
    <row r="183" spans="1:14">
      <c r="A183" s="13"/>
      <c r="B183" s="13">
        <v>18025</v>
      </c>
      <c r="C183" s="13">
        <v>5032</v>
      </c>
      <c r="D183" s="13">
        <v>1355</v>
      </c>
      <c r="E183" s="13"/>
      <c r="F183" s="13"/>
      <c r="G183" s="13">
        <v>383</v>
      </c>
      <c r="H183" s="13">
        <v>430</v>
      </c>
      <c r="I183" s="13"/>
      <c r="J183" s="13"/>
      <c r="K183" s="13"/>
      <c r="L183" s="13"/>
      <c r="M183" s="14"/>
      <c r="N183" s="5"/>
    </row>
    <row r="184" spans="1:1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5"/>
    </row>
    <row r="185" spans="1:14">
      <c r="A185" s="33" t="s">
        <v>170</v>
      </c>
      <c r="B185" s="32" t="s">
        <v>2094</v>
      </c>
      <c r="C185" s="32" t="s">
        <v>662</v>
      </c>
      <c r="D185" s="32" t="s">
        <v>662</v>
      </c>
      <c r="E185" s="32" t="s">
        <v>2362</v>
      </c>
      <c r="F185" s="32"/>
      <c r="G185" s="32" t="s">
        <v>1873</v>
      </c>
      <c r="H185" s="32" t="s">
        <v>662</v>
      </c>
      <c r="I185" s="32"/>
      <c r="J185" s="32"/>
      <c r="K185" s="32"/>
      <c r="L185" s="30">
        <v>9265</v>
      </c>
      <c r="M185" s="29" t="s">
        <v>2097</v>
      </c>
      <c r="N185" s="5"/>
    </row>
    <row r="186" spans="1:14">
      <c r="A186" s="30"/>
      <c r="B186" s="30">
        <v>16758</v>
      </c>
      <c r="C186" s="30">
        <v>8520</v>
      </c>
      <c r="D186" s="30">
        <v>1681</v>
      </c>
      <c r="E186" s="30">
        <v>1681</v>
      </c>
      <c r="F186" s="30"/>
      <c r="G186" s="30">
        <v>181</v>
      </c>
      <c r="H186" s="30">
        <v>580</v>
      </c>
      <c r="I186" s="30"/>
      <c r="J186" s="30"/>
      <c r="K186" s="30"/>
      <c r="L186" s="30"/>
      <c r="M186" s="30"/>
      <c r="N186" s="5"/>
    </row>
    <row r="187" spans="1:14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>
      <c r="A188" s="14" t="s">
        <v>5</v>
      </c>
      <c r="B188" s="12" t="s">
        <v>1535</v>
      </c>
      <c r="C188" s="12" t="s">
        <v>1870</v>
      </c>
      <c r="D188" s="12" t="s">
        <v>1870</v>
      </c>
      <c r="E188" s="12"/>
      <c r="F188" s="12"/>
      <c r="G188" s="12" t="s">
        <v>800</v>
      </c>
      <c r="H188" s="12" t="s">
        <v>1683</v>
      </c>
      <c r="I188" s="12"/>
      <c r="J188" s="12"/>
      <c r="K188" s="12"/>
      <c r="L188" s="13">
        <v>5740</v>
      </c>
      <c r="M188" s="12" t="s">
        <v>1871</v>
      </c>
      <c r="N188" s="5"/>
    </row>
    <row r="189" spans="1:14">
      <c r="A189" s="13"/>
      <c r="B189" s="13">
        <v>6132</v>
      </c>
      <c r="C189" s="13">
        <v>17357</v>
      </c>
      <c r="D189" s="13">
        <v>3695</v>
      </c>
      <c r="E189" s="13"/>
      <c r="F189" s="13"/>
      <c r="G189" s="13">
        <v>537</v>
      </c>
      <c r="H189" s="13">
        <v>1148</v>
      </c>
      <c r="I189" s="13"/>
      <c r="J189" s="13"/>
      <c r="K189" s="13"/>
      <c r="L189" s="13"/>
      <c r="M189" s="14"/>
      <c r="N189" s="5"/>
    </row>
    <row r="190" spans="1:14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5"/>
    </row>
    <row r="191" spans="1:14">
      <c r="A191" s="33" t="s">
        <v>8</v>
      </c>
      <c r="B191" s="32" t="s">
        <v>2099</v>
      </c>
      <c r="C191" s="32" t="s">
        <v>2363</v>
      </c>
      <c r="D191" s="32" t="s">
        <v>2363</v>
      </c>
      <c r="E191" s="32"/>
      <c r="F191" s="32"/>
      <c r="G191" s="32" t="s">
        <v>834</v>
      </c>
      <c r="H191" s="32"/>
      <c r="I191" s="32"/>
      <c r="J191" s="32"/>
      <c r="K191" s="32"/>
      <c r="L191" s="30">
        <v>3865</v>
      </c>
      <c r="M191" s="32" t="s">
        <v>836</v>
      </c>
      <c r="N191" s="5"/>
    </row>
    <row r="192" spans="1:14">
      <c r="A192" s="30"/>
      <c r="B192" s="30">
        <v>15383</v>
      </c>
      <c r="C192" s="30">
        <v>2315</v>
      </c>
      <c r="D192" s="30">
        <v>238</v>
      </c>
      <c r="E192" s="30"/>
      <c r="F192" s="30"/>
      <c r="G192" s="30">
        <v>625</v>
      </c>
      <c r="H192" s="33"/>
      <c r="I192" s="33"/>
      <c r="J192" s="33"/>
      <c r="K192" s="33"/>
      <c r="L192" s="30"/>
      <c r="M192" s="33"/>
      <c r="N192" s="5"/>
    </row>
    <row r="193" spans="1:14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5"/>
    </row>
    <row r="194" spans="1:14">
      <c r="A194" s="14" t="s">
        <v>14</v>
      </c>
      <c r="B194" s="12" t="s">
        <v>2100</v>
      </c>
      <c r="C194" s="12" t="s">
        <v>2364</v>
      </c>
      <c r="D194" s="12"/>
      <c r="E194" s="12"/>
      <c r="F194" s="12"/>
      <c r="G194" s="12" t="s">
        <v>1694</v>
      </c>
      <c r="H194" s="12"/>
      <c r="I194" s="12"/>
      <c r="J194" s="12"/>
      <c r="K194" s="12"/>
      <c r="L194" s="13">
        <v>6011</v>
      </c>
      <c r="M194" s="12" t="s">
        <v>1696</v>
      </c>
      <c r="N194" s="5"/>
    </row>
    <row r="195" spans="1:14">
      <c r="A195" s="13"/>
      <c r="B195" s="13">
        <v>23884</v>
      </c>
      <c r="C195" s="13">
        <v>3840</v>
      </c>
      <c r="D195" s="13"/>
      <c r="E195" s="13"/>
      <c r="F195" s="13"/>
      <c r="G195" s="13">
        <v>1281</v>
      </c>
      <c r="H195" s="13"/>
      <c r="I195" s="13"/>
      <c r="J195" s="13"/>
      <c r="K195" s="13"/>
      <c r="L195" s="13"/>
      <c r="M195" s="14"/>
      <c r="N195" s="5"/>
    </row>
    <row r="196" spans="1:1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5"/>
    </row>
    <row r="197" spans="1:14">
      <c r="A197" s="33" t="s">
        <v>23</v>
      </c>
      <c r="B197" s="32" t="s">
        <v>2101</v>
      </c>
      <c r="C197" s="32" t="s">
        <v>2365</v>
      </c>
      <c r="D197" s="32" t="s">
        <v>738</v>
      </c>
      <c r="E197" s="32" t="s">
        <v>2365</v>
      </c>
      <c r="F197" s="32"/>
      <c r="G197" s="32" t="s">
        <v>2101</v>
      </c>
      <c r="H197" s="32"/>
      <c r="I197" s="32"/>
      <c r="J197" s="32"/>
      <c r="K197" s="32"/>
      <c r="L197" s="30">
        <v>6030</v>
      </c>
      <c r="M197" s="32" t="s">
        <v>24</v>
      </c>
      <c r="N197" s="5"/>
    </row>
    <row r="198" spans="1:14">
      <c r="A198" s="30"/>
      <c r="B198" s="30">
        <v>23599</v>
      </c>
      <c r="C198" s="30">
        <v>4501</v>
      </c>
      <c r="D198" s="30">
        <v>394</v>
      </c>
      <c r="E198" s="30">
        <v>276</v>
      </c>
      <c r="F198" s="30"/>
      <c r="G198" s="30">
        <v>1077</v>
      </c>
      <c r="H198" s="33"/>
      <c r="I198" s="33"/>
      <c r="J198" s="33"/>
      <c r="K198" s="33"/>
      <c r="L198" s="30"/>
      <c r="M198" s="33"/>
      <c r="N198" s="5"/>
    </row>
    <row r="199" spans="1:14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5"/>
    </row>
    <row r="200" spans="1:14">
      <c r="A200" s="14" t="s">
        <v>29</v>
      </c>
      <c r="B200" s="12" t="s">
        <v>1511</v>
      </c>
      <c r="C200" s="12" t="s">
        <v>1534</v>
      </c>
      <c r="D200" s="12"/>
      <c r="E200" s="12"/>
      <c r="F200" s="12"/>
      <c r="G200" s="12" t="s">
        <v>1534</v>
      </c>
      <c r="H200" s="12"/>
      <c r="I200" s="12"/>
      <c r="J200" s="12"/>
      <c r="K200" s="12"/>
      <c r="L200" s="13">
        <v>5393</v>
      </c>
      <c r="M200" s="12" t="s">
        <v>1513</v>
      </c>
      <c r="N200" s="5"/>
    </row>
    <row r="201" spans="1:14">
      <c r="A201" s="13"/>
      <c r="B201" s="13">
        <v>23815</v>
      </c>
      <c r="C201" s="13">
        <v>7374</v>
      </c>
      <c r="D201" s="13"/>
      <c r="E201" s="13"/>
      <c r="F201" s="13"/>
      <c r="G201" s="13">
        <v>467</v>
      </c>
      <c r="H201" s="13"/>
      <c r="I201" s="13"/>
      <c r="J201" s="13"/>
      <c r="K201" s="13"/>
      <c r="L201" s="13"/>
      <c r="M201" s="14"/>
      <c r="N201" s="5"/>
    </row>
    <row r="202" spans="1:14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5"/>
    </row>
    <row r="203" spans="1:14">
      <c r="A203" s="33" t="s">
        <v>36</v>
      </c>
      <c r="B203" s="32" t="s">
        <v>37</v>
      </c>
      <c r="C203" s="32" t="s">
        <v>2104</v>
      </c>
      <c r="D203" s="32"/>
      <c r="E203" s="32"/>
      <c r="F203" s="32"/>
      <c r="G203" s="32"/>
      <c r="H203" s="32"/>
      <c r="I203" s="32"/>
      <c r="J203" s="32"/>
      <c r="K203" s="32"/>
      <c r="L203" s="30">
        <v>5560</v>
      </c>
      <c r="M203" s="32" t="s">
        <v>38</v>
      </c>
      <c r="N203" s="5"/>
    </row>
    <row r="204" spans="1:14">
      <c r="A204" s="30"/>
      <c r="B204" s="30">
        <v>31095</v>
      </c>
      <c r="C204" s="30">
        <v>4083</v>
      </c>
      <c r="D204" s="30"/>
      <c r="E204" s="30"/>
      <c r="F204" s="30"/>
      <c r="G204" s="30"/>
      <c r="H204" s="33"/>
      <c r="I204" s="33"/>
      <c r="J204" s="33"/>
      <c r="K204" s="33"/>
      <c r="L204" s="30"/>
      <c r="M204" s="30"/>
      <c r="N204" s="5"/>
    </row>
    <row r="205" spans="1:14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5"/>
    </row>
    <row r="206" spans="1:14">
      <c r="A206" s="14" t="s">
        <v>46</v>
      </c>
      <c r="B206" s="12" t="s">
        <v>1686</v>
      </c>
      <c r="C206" s="12" t="s">
        <v>2366</v>
      </c>
      <c r="D206" s="12"/>
      <c r="E206" s="12"/>
      <c r="F206" s="12"/>
      <c r="G206" s="12" t="s">
        <v>1802</v>
      </c>
      <c r="H206" s="12"/>
      <c r="I206" s="12"/>
      <c r="J206" s="12"/>
      <c r="K206" s="12"/>
      <c r="L206" s="13">
        <v>6594</v>
      </c>
      <c r="M206" s="12" t="s">
        <v>1688</v>
      </c>
      <c r="N206" s="5"/>
    </row>
    <row r="207" spans="1:14">
      <c r="A207" s="13"/>
      <c r="B207" s="13">
        <v>31149</v>
      </c>
      <c r="C207" s="13">
        <v>4968</v>
      </c>
      <c r="D207" s="13"/>
      <c r="E207" s="13"/>
      <c r="F207" s="13"/>
      <c r="G207" s="13">
        <v>1240</v>
      </c>
      <c r="H207" s="14"/>
      <c r="I207" s="14"/>
      <c r="J207" s="14"/>
      <c r="K207" s="14"/>
      <c r="L207" s="13"/>
      <c r="M207" s="14"/>
      <c r="N207" s="5"/>
    </row>
    <row r="208" spans="1:1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5"/>
    </row>
    <row r="209" spans="1:14">
      <c r="A209" s="33" t="s">
        <v>51</v>
      </c>
      <c r="B209" s="29" t="s">
        <v>2367</v>
      </c>
      <c r="C209" s="29" t="s">
        <v>2368</v>
      </c>
      <c r="D209" s="29" t="s">
        <v>673</v>
      </c>
      <c r="E209" s="29" t="s">
        <v>685</v>
      </c>
      <c r="F209" s="29"/>
      <c r="G209" s="29" t="s">
        <v>685</v>
      </c>
      <c r="H209" s="29"/>
      <c r="I209" s="29"/>
      <c r="J209" s="29"/>
      <c r="K209" s="29"/>
      <c r="L209" s="30">
        <v>6714</v>
      </c>
      <c r="M209" s="29" t="s">
        <v>2369</v>
      </c>
      <c r="N209" s="5"/>
    </row>
    <row r="210" spans="1:14">
      <c r="A210" s="30"/>
      <c r="B210" s="30">
        <v>17225</v>
      </c>
      <c r="C210" s="30">
        <v>1270</v>
      </c>
      <c r="D210" s="30">
        <v>235</v>
      </c>
      <c r="E210" s="30">
        <v>320</v>
      </c>
      <c r="F210" s="30"/>
      <c r="G210" s="30">
        <v>285</v>
      </c>
      <c r="H210" s="30"/>
      <c r="I210" s="30"/>
      <c r="J210" s="30"/>
      <c r="K210" s="30"/>
      <c r="L210" s="30"/>
      <c r="M210" s="30"/>
      <c r="N210" s="5"/>
    </row>
    <row r="211" spans="1:1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5"/>
    </row>
    <row r="212" spans="1:14">
      <c r="A212" s="14" t="s">
        <v>58</v>
      </c>
      <c r="B212" s="12" t="s">
        <v>2107</v>
      </c>
      <c r="C212" s="12" t="s">
        <v>2370</v>
      </c>
      <c r="D212" s="12"/>
      <c r="E212" s="12"/>
      <c r="F212" s="12"/>
      <c r="G212" s="12"/>
      <c r="H212" s="12"/>
      <c r="I212" s="12"/>
      <c r="J212" s="12"/>
      <c r="K212" s="15"/>
      <c r="L212" s="13">
        <v>6720</v>
      </c>
      <c r="M212" s="12" t="s">
        <v>2108</v>
      </c>
      <c r="N212" s="5"/>
    </row>
    <row r="213" spans="1:14">
      <c r="A213" s="13"/>
      <c r="B213" s="13">
        <v>28306</v>
      </c>
      <c r="C213" s="13">
        <v>2698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4"/>
      <c r="N213" s="5"/>
    </row>
    <row r="214" spans="1: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5"/>
    </row>
    <row r="215" spans="1:14">
      <c r="A215" s="33" t="s">
        <v>62</v>
      </c>
      <c r="B215" s="32" t="s">
        <v>839</v>
      </c>
      <c r="C215" s="32" t="s">
        <v>2371</v>
      </c>
      <c r="D215" s="32"/>
      <c r="E215" s="32"/>
      <c r="F215" s="32"/>
      <c r="G215" s="32"/>
      <c r="H215" s="32"/>
      <c r="I215" s="32"/>
      <c r="J215" s="32"/>
      <c r="K215" s="32"/>
      <c r="L215" s="30">
        <v>5800</v>
      </c>
      <c r="M215" s="32" t="s">
        <v>841</v>
      </c>
      <c r="N215" s="5"/>
    </row>
    <row r="216" spans="1:14">
      <c r="A216" s="30"/>
      <c r="B216" s="30">
        <v>20757</v>
      </c>
      <c r="C216" s="30">
        <v>423</v>
      </c>
      <c r="D216" s="30"/>
      <c r="E216" s="30"/>
      <c r="F216" s="30"/>
      <c r="G216" s="30"/>
      <c r="H216" s="33"/>
      <c r="I216" s="33"/>
      <c r="J216" s="33"/>
      <c r="K216" s="33"/>
      <c r="L216" s="30"/>
      <c r="M216" s="33"/>
      <c r="N216" s="5"/>
    </row>
    <row r="217" spans="1:14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5"/>
    </row>
    <row r="218" spans="1:14">
      <c r="A218" s="14" t="s">
        <v>67</v>
      </c>
      <c r="B218" s="12" t="s">
        <v>68</v>
      </c>
      <c r="C218" s="12" t="s">
        <v>2372</v>
      </c>
      <c r="D218" s="12" t="s">
        <v>2372</v>
      </c>
      <c r="E218" s="12"/>
      <c r="F218" s="12"/>
      <c r="G218" s="12"/>
      <c r="H218" s="12"/>
      <c r="I218" s="12"/>
      <c r="J218" s="12"/>
      <c r="K218" s="12" t="s">
        <v>2373</v>
      </c>
      <c r="L218" s="13">
        <v>6614</v>
      </c>
      <c r="M218" s="12" t="s">
        <v>69</v>
      </c>
      <c r="N218" s="5"/>
    </row>
    <row r="219" spans="1:14">
      <c r="A219" s="13"/>
      <c r="B219" s="13">
        <v>18275</v>
      </c>
      <c r="C219" s="13">
        <v>1505</v>
      </c>
      <c r="D219" s="13">
        <v>236</v>
      </c>
      <c r="E219" s="13"/>
      <c r="F219" s="13"/>
      <c r="G219" s="13"/>
      <c r="H219" s="13"/>
      <c r="I219" s="13"/>
      <c r="J219" s="13"/>
      <c r="K219" s="13">
        <v>366</v>
      </c>
      <c r="L219" s="13"/>
      <c r="M219" s="14"/>
      <c r="N219" s="5"/>
    </row>
    <row r="220" spans="1:14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5"/>
    </row>
    <row r="221" spans="1:14">
      <c r="A221" s="33" t="s">
        <v>72</v>
      </c>
      <c r="B221" s="32" t="s">
        <v>1349</v>
      </c>
      <c r="C221" s="32" t="s">
        <v>2374</v>
      </c>
      <c r="D221" s="32"/>
      <c r="E221" s="32" t="s">
        <v>2375</v>
      </c>
      <c r="F221" s="32"/>
      <c r="G221" s="32" t="s">
        <v>1349</v>
      </c>
      <c r="H221" s="32"/>
      <c r="I221" s="32"/>
      <c r="J221" s="32"/>
      <c r="K221" s="29"/>
      <c r="L221" s="30">
        <v>5177</v>
      </c>
      <c r="M221" s="32" t="s">
        <v>1350</v>
      </c>
      <c r="N221" s="5"/>
    </row>
    <row r="222" spans="1:14">
      <c r="A222" s="30"/>
      <c r="B222" s="30">
        <v>12128</v>
      </c>
      <c r="C222" s="30">
        <v>793</v>
      </c>
      <c r="D222" s="30"/>
      <c r="E222" s="30">
        <v>261</v>
      </c>
      <c r="F222" s="30"/>
      <c r="G222" s="30">
        <v>259</v>
      </c>
      <c r="H222" s="30"/>
      <c r="I222" s="30"/>
      <c r="J222" s="30"/>
      <c r="K222" s="30"/>
      <c r="L222" s="30"/>
      <c r="M222" s="33"/>
      <c r="N222" s="5"/>
    </row>
    <row r="223" spans="1:14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5"/>
    </row>
    <row r="224" spans="1:14">
      <c r="A224" s="14" t="s">
        <v>79</v>
      </c>
      <c r="B224" s="12" t="s">
        <v>2376</v>
      </c>
      <c r="C224" s="12" t="s">
        <v>2111</v>
      </c>
      <c r="D224" s="12"/>
      <c r="E224" s="12"/>
      <c r="F224" s="12"/>
      <c r="G224" s="12" t="s">
        <v>2112</v>
      </c>
      <c r="H224" s="12"/>
      <c r="I224" s="12"/>
      <c r="J224" s="12"/>
      <c r="K224" s="12"/>
      <c r="L224" s="13">
        <v>5748</v>
      </c>
      <c r="M224" s="12" t="s">
        <v>2113</v>
      </c>
      <c r="N224" s="5"/>
    </row>
    <row r="225" spans="1:14">
      <c r="A225" s="13"/>
      <c r="B225" s="13">
        <v>15148</v>
      </c>
      <c r="C225" s="13">
        <v>17984</v>
      </c>
      <c r="D225" s="13"/>
      <c r="E225" s="13"/>
      <c r="F225" s="13"/>
      <c r="G225" s="13">
        <v>1563</v>
      </c>
      <c r="H225" s="13"/>
      <c r="I225" s="13"/>
      <c r="J225" s="13"/>
      <c r="K225" s="13"/>
      <c r="L225" s="13"/>
      <c r="M225" s="14"/>
      <c r="N225" s="5"/>
    </row>
    <row r="226" spans="1:14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5"/>
    </row>
    <row r="227" spans="1:14">
      <c r="A227" s="33" t="s">
        <v>87</v>
      </c>
      <c r="B227" s="32" t="s">
        <v>2114</v>
      </c>
      <c r="C227" s="32"/>
      <c r="D227" s="32" t="s">
        <v>2116</v>
      </c>
      <c r="E227" s="32"/>
      <c r="F227" s="32"/>
      <c r="G227" s="32" t="s">
        <v>229</v>
      </c>
      <c r="H227" s="32"/>
      <c r="I227" s="32"/>
      <c r="J227" s="32"/>
      <c r="K227" s="29"/>
      <c r="L227" s="30">
        <v>6406</v>
      </c>
      <c r="M227" s="32" t="s">
        <v>88</v>
      </c>
      <c r="N227" s="5"/>
    </row>
    <row r="228" spans="1:14">
      <c r="A228" s="30"/>
      <c r="B228" s="30">
        <v>12763</v>
      </c>
      <c r="C228" s="30"/>
      <c r="D228" s="30">
        <v>160</v>
      </c>
      <c r="E228" s="30"/>
      <c r="F228" s="30"/>
      <c r="G228" s="30">
        <v>234</v>
      </c>
      <c r="H228" s="30"/>
      <c r="I228" s="30"/>
      <c r="J228" s="30"/>
      <c r="K228" s="30"/>
      <c r="L228" s="30"/>
      <c r="M228" s="30"/>
      <c r="N228" s="5"/>
    </row>
    <row r="229" spans="1:14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5"/>
    </row>
    <row r="230" spans="1:14">
      <c r="A230" s="14" t="s">
        <v>92</v>
      </c>
      <c r="B230" s="12" t="s">
        <v>2117</v>
      </c>
      <c r="C230" s="12" t="s">
        <v>2377</v>
      </c>
      <c r="D230" s="12" t="s">
        <v>2378</v>
      </c>
      <c r="E230" s="12" t="s">
        <v>2379</v>
      </c>
      <c r="F230" s="12"/>
      <c r="G230" s="12" t="s">
        <v>1366</v>
      </c>
      <c r="H230" s="12"/>
      <c r="I230" s="12"/>
      <c r="J230" s="12"/>
      <c r="K230" s="12"/>
      <c r="L230" s="13">
        <v>4871</v>
      </c>
      <c r="M230" s="12" t="s">
        <v>1369</v>
      </c>
      <c r="N230" s="5"/>
    </row>
    <row r="231" spans="1:14">
      <c r="A231" s="13"/>
      <c r="B231" s="13">
        <v>13028</v>
      </c>
      <c r="C231" s="13">
        <v>421</v>
      </c>
      <c r="D231" s="13">
        <v>127</v>
      </c>
      <c r="E231" s="13">
        <v>157</v>
      </c>
      <c r="F231" s="13"/>
      <c r="G231" s="13">
        <v>250</v>
      </c>
      <c r="H231" s="14"/>
      <c r="I231" s="14"/>
      <c r="J231" s="14"/>
      <c r="K231" s="12"/>
      <c r="L231" s="13"/>
      <c r="M231" s="13"/>
      <c r="N231" s="5"/>
    </row>
    <row r="232" spans="1:14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5"/>
    </row>
    <row r="233" spans="1:14">
      <c r="A233" s="33" t="s">
        <v>95</v>
      </c>
      <c r="B233" s="32" t="s">
        <v>1163</v>
      </c>
      <c r="C233" s="32" t="s">
        <v>1351</v>
      </c>
      <c r="D233" s="32"/>
      <c r="E233" s="32" t="s">
        <v>796</v>
      </c>
      <c r="F233" s="32"/>
      <c r="G233" s="32" t="s">
        <v>203</v>
      </c>
      <c r="H233" s="32"/>
      <c r="I233" s="32"/>
      <c r="J233" s="32"/>
      <c r="K233" s="32"/>
      <c r="L233" s="30">
        <v>5997</v>
      </c>
      <c r="M233" s="32" t="s">
        <v>1164</v>
      </c>
      <c r="N233" s="5"/>
    </row>
    <row r="234" spans="1:14">
      <c r="A234" s="30"/>
      <c r="B234" s="29">
        <v>13092</v>
      </c>
      <c r="C234" s="29">
        <v>526</v>
      </c>
      <c r="D234" s="29"/>
      <c r="E234" s="29">
        <v>184</v>
      </c>
      <c r="F234" s="29"/>
      <c r="G234" s="29">
        <v>223</v>
      </c>
      <c r="H234" s="30"/>
      <c r="I234" s="30"/>
      <c r="J234" s="30"/>
      <c r="K234" s="30"/>
      <c r="L234" s="30"/>
      <c r="M234" s="33"/>
      <c r="N234" s="5"/>
    </row>
    <row r="235" spans="1:14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5"/>
    </row>
    <row r="236" spans="1:14">
      <c r="A236" s="14" t="s">
        <v>98</v>
      </c>
      <c r="B236" s="12" t="s">
        <v>1352</v>
      </c>
      <c r="C236" s="15" t="s">
        <v>1064</v>
      </c>
      <c r="D236" s="12" t="s">
        <v>352</v>
      </c>
      <c r="E236" s="12"/>
      <c r="F236" s="12"/>
      <c r="G236" s="12" t="s">
        <v>1444</v>
      </c>
      <c r="H236" s="12"/>
      <c r="I236" s="12"/>
      <c r="J236" s="12"/>
      <c r="K236" s="12"/>
      <c r="L236" s="13">
        <v>4714</v>
      </c>
      <c r="M236" s="12" t="s">
        <v>1354</v>
      </c>
      <c r="N236" s="5"/>
    </row>
    <row r="237" spans="1:14">
      <c r="A237" s="13"/>
      <c r="B237" s="15">
        <v>12610</v>
      </c>
      <c r="C237" s="15">
        <v>345</v>
      </c>
      <c r="D237" s="15">
        <v>114</v>
      </c>
      <c r="E237" s="13"/>
      <c r="F237" s="13"/>
      <c r="G237" s="13">
        <v>161</v>
      </c>
      <c r="H237" s="14"/>
      <c r="I237" s="14"/>
      <c r="J237" s="14"/>
      <c r="K237" s="14"/>
      <c r="L237" s="13"/>
      <c r="M237" s="14"/>
      <c r="N237" s="5"/>
    </row>
    <row r="238" spans="1:14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5"/>
    </row>
    <row r="239" spans="1:14">
      <c r="A239" s="33" t="s">
        <v>103</v>
      </c>
      <c r="B239" s="32" t="s">
        <v>2380</v>
      </c>
      <c r="C239" s="32"/>
      <c r="D239" s="32"/>
      <c r="E239" s="32"/>
      <c r="F239" s="32"/>
      <c r="G239" s="32" t="s">
        <v>1014</v>
      </c>
      <c r="H239" s="32"/>
      <c r="I239" s="32"/>
      <c r="J239" s="32"/>
      <c r="K239" s="32"/>
      <c r="L239" s="30">
        <v>4564</v>
      </c>
      <c r="M239" s="32" t="s">
        <v>2381</v>
      </c>
      <c r="N239" s="5"/>
    </row>
    <row r="240" spans="1:14">
      <c r="A240" s="30"/>
      <c r="B240" s="29">
        <v>10377</v>
      </c>
      <c r="C240" s="29"/>
      <c r="D240" s="29"/>
      <c r="E240" s="29"/>
      <c r="F240" s="29"/>
      <c r="G240" s="29">
        <v>189</v>
      </c>
      <c r="H240" s="30"/>
      <c r="I240" s="30"/>
      <c r="J240" s="30"/>
      <c r="K240" s="33"/>
      <c r="L240" s="30"/>
      <c r="M240" s="30"/>
      <c r="N240" s="5"/>
    </row>
    <row r="241" spans="1:14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>
      <c r="A242" s="14" t="s">
        <v>109</v>
      </c>
      <c r="B242" s="12" t="s">
        <v>1884</v>
      </c>
      <c r="C242" s="12" t="s">
        <v>2120</v>
      </c>
      <c r="D242" s="12" t="s">
        <v>2382</v>
      </c>
      <c r="E242" s="12"/>
      <c r="F242" s="12"/>
      <c r="G242" s="12" t="s">
        <v>1155</v>
      </c>
      <c r="H242" s="15"/>
      <c r="I242" s="15"/>
      <c r="J242" s="15"/>
      <c r="K242" s="15"/>
      <c r="L242" s="13">
        <v>5950</v>
      </c>
      <c r="M242" s="12" t="s">
        <v>1886</v>
      </c>
      <c r="N242" s="5"/>
    </row>
    <row r="243" spans="1:14">
      <c r="A243" s="13"/>
      <c r="B243" s="15">
        <v>12916</v>
      </c>
      <c r="C243" s="15">
        <v>530</v>
      </c>
      <c r="D243" s="15">
        <v>283</v>
      </c>
      <c r="E243" s="15"/>
      <c r="F243" s="15"/>
      <c r="G243" s="15">
        <v>351</v>
      </c>
      <c r="H243" s="13"/>
      <c r="I243" s="13"/>
      <c r="J243" s="13"/>
      <c r="K243" s="13"/>
      <c r="L243" s="13"/>
      <c r="M243" s="13"/>
      <c r="N243" s="5"/>
    </row>
    <row r="244" spans="1:1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5"/>
    </row>
    <row r="245" spans="1:14">
      <c r="A245" s="33" t="s">
        <v>113</v>
      </c>
      <c r="B245" s="32" t="s">
        <v>1887</v>
      </c>
      <c r="C245" s="32" t="s">
        <v>2383</v>
      </c>
      <c r="D245" s="29" t="s">
        <v>2122</v>
      </c>
      <c r="E245" s="32"/>
      <c r="F245" s="32"/>
      <c r="G245" s="32" t="s">
        <v>1998</v>
      </c>
      <c r="H245" s="32"/>
      <c r="I245" s="32"/>
      <c r="J245" s="32"/>
      <c r="K245" s="29"/>
      <c r="L245" s="30">
        <v>5709</v>
      </c>
      <c r="M245" s="32" t="s">
        <v>1889</v>
      </c>
      <c r="N245" s="5"/>
    </row>
    <row r="246" spans="1:14">
      <c r="A246" s="30"/>
      <c r="B246" s="29">
        <v>13093</v>
      </c>
      <c r="C246" s="29">
        <v>2644</v>
      </c>
      <c r="D246" s="30">
        <v>754</v>
      </c>
      <c r="E246" s="29"/>
      <c r="F246" s="29"/>
      <c r="G246" s="29">
        <v>548</v>
      </c>
      <c r="H246" s="30"/>
      <c r="I246" s="30"/>
      <c r="J246" s="30"/>
      <c r="K246" s="30"/>
      <c r="L246" s="30"/>
      <c r="M246" s="30"/>
      <c r="N246" s="5"/>
    </row>
    <row r="247" spans="1:14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5"/>
    </row>
    <row r="248" spans="1:14">
      <c r="A248" s="14" t="s">
        <v>124</v>
      </c>
      <c r="B248" s="12" t="s">
        <v>125</v>
      </c>
      <c r="C248" s="12" t="s">
        <v>2384</v>
      </c>
      <c r="D248" s="12" t="s">
        <v>2384</v>
      </c>
      <c r="E248" s="12" t="s">
        <v>2385</v>
      </c>
      <c r="F248" s="12"/>
      <c r="G248" s="12" t="s">
        <v>313</v>
      </c>
      <c r="H248" s="12"/>
      <c r="I248" s="12"/>
      <c r="J248" s="12"/>
      <c r="K248" s="12"/>
      <c r="L248" s="13">
        <v>5544</v>
      </c>
      <c r="M248" s="12" t="s">
        <v>126</v>
      </c>
      <c r="N248" s="5"/>
    </row>
    <row r="249" spans="1:14">
      <c r="A249" s="13"/>
      <c r="B249" s="15">
        <v>17886</v>
      </c>
      <c r="C249" s="15">
        <v>3288</v>
      </c>
      <c r="D249" s="15">
        <v>1037</v>
      </c>
      <c r="E249" s="15">
        <v>277</v>
      </c>
      <c r="F249" s="15"/>
      <c r="G249" s="15">
        <v>575</v>
      </c>
      <c r="H249" s="15"/>
      <c r="I249" s="15"/>
      <c r="J249" s="15"/>
      <c r="K249" s="15"/>
      <c r="L249" s="13"/>
      <c r="M249" s="13"/>
      <c r="N249" s="5"/>
    </row>
    <row r="250" spans="1:14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5"/>
    </row>
    <row r="251" spans="1:14">
      <c r="A251" s="33" t="s">
        <v>130</v>
      </c>
      <c r="B251" s="32" t="s">
        <v>1890</v>
      </c>
      <c r="C251" s="32" t="s">
        <v>1891</v>
      </c>
      <c r="D251" s="32" t="s">
        <v>2386</v>
      </c>
      <c r="E251" s="32" t="s">
        <v>2387</v>
      </c>
      <c r="F251" s="32"/>
      <c r="G251" s="32" t="s">
        <v>2479</v>
      </c>
      <c r="H251" s="29"/>
      <c r="I251" s="29"/>
      <c r="J251" s="29"/>
      <c r="K251" s="29"/>
      <c r="L251" s="30">
        <v>7752</v>
      </c>
      <c r="M251" s="32" t="s">
        <v>1893</v>
      </c>
      <c r="N251" s="5"/>
    </row>
    <row r="252" spans="1:14">
      <c r="A252" s="30"/>
      <c r="B252" s="29">
        <v>16862</v>
      </c>
      <c r="C252" s="29">
        <v>3536</v>
      </c>
      <c r="D252" s="29">
        <v>1472</v>
      </c>
      <c r="E252" s="30">
        <v>270</v>
      </c>
      <c r="F252" s="30"/>
      <c r="G252" s="30">
        <v>188</v>
      </c>
      <c r="H252" s="30"/>
      <c r="I252" s="30"/>
      <c r="J252" s="30"/>
      <c r="K252" s="29"/>
      <c r="L252" s="30"/>
      <c r="M252" s="30"/>
      <c r="N252" s="5"/>
    </row>
    <row r="253" spans="1:14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5"/>
    </row>
    <row r="254" spans="1:14">
      <c r="A254" s="14" t="s">
        <v>136</v>
      </c>
      <c r="B254" s="12" t="s">
        <v>2388</v>
      </c>
      <c r="C254" s="12" t="s">
        <v>1894</v>
      </c>
      <c r="D254" s="15" t="s">
        <v>1670</v>
      </c>
      <c r="E254" s="12"/>
      <c r="F254" s="12"/>
      <c r="G254" s="12" t="s">
        <v>2480</v>
      </c>
      <c r="H254" s="12"/>
      <c r="I254" s="12"/>
      <c r="J254" s="12"/>
      <c r="K254" s="15"/>
      <c r="L254" s="13">
        <v>6658</v>
      </c>
      <c r="M254" s="12" t="s">
        <v>2389</v>
      </c>
      <c r="N254" s="5"/>
    </row>
    <row r="255" spans="1:14">
      <c r="A255" s="13"/>
      <c r="B255" s="15">
        <v>15211</v>
      </c>
      <c r="C255" s="15">
        <v>870</v>
      </c>
      <c r="D255" s="15">
        <v>545</v>
      </c>
      <c r="E255" s="15"/>
      <c r="F255" s="15"/>
      <c r="G255" s="15">
        <v>221</v>
      </c>
      <c r="H255" s="13"/>
      <c r="I255" s="13"/>
      <c r="J255" s="13"/>
      <c r="K255" s="15"/>
      <c r="L255" s="13"/>
      <c r="M255" s="13"/>
      <c r="N255" s="5"/>
    </row>
    <row r="256" spans="1:14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5"/>
    </row>
    <row r="257" spans="1:14">
      <c r="A257" s="33" t="s">
        <v>140</v>
      </c>
      <c r="B257" s="29" t="s">
        <v>2126</v>
      </c>
      <c r="C257" s="32"/>
      <c r="D257" s="29" t="s">
        <v>1928</v>
      </c>
      <c r="E257" s="32" t="s">
        <v>189</v>
      </c>
      <c r="F257" s="32"/>
      <c r="G257" s="32"/>
      <c r="H257" s="32"/>
      <c r="I257" s="32"/>
      <c r="J257" s="32"/>
      <c r="K257" s="29"/>
      <c r="L257" s="30">
        <v>6841</v>
      </c>
      <c r="M257" s="32" t="s">
        <v>2127</v>
      </c>
      <c r="N257" s="5"/>
    </row>
    <row r="258" spans="1:14">
      <c r="A258" s="30"/>
      <c r="B258" s="29">
        <v>15324</v>
      </c>
      <c r="C258" s="29"/>
      <c r="D258" s="30">
        <v>561</v>
      </c>
      <c r="E258" s="30">
        <v>471</v>
      </c>
      <c r="F258" s="30"/>
      <c r="G258" s="30"/>
      <c r="H258" s="29"/>
      <c r="I258" s="29"/>
      <c r="J258" s="29"/>
      <c r="K258" s="29"/>
      <c r="L258" s="30"/>
      <c r="M258" s="30"/>
      <c r="N258" s="5"/>
    </row>
    <row r="259" spans="1:14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5"/>
    </row>
    <row r="260" spans="1:14">
      <c r="A260" s="14" t="s">
        <v>144</v>
      </c>
      <c r="B260" s="15" t="s">
        <v>2128</v>
      </c>
      <c r="C260" s="12"/>
      <c r="D260" s="15" t="s">
        <v>2128</v>
      </c>
      <c r="E260" s="15"/>
      <c r="F260" s="15"/>
      <c r="G260" s="15"/>
      <c r="H260" s="12" t="s">
        <v>1902</v>
      </c>
      <c r="I260" s="12"/>
      <c r="J260" s="12"/>
      <c r="K260" s="15"/>
      <c r="L260" s="13">
        <v>13528</v>
      </c>
      <c r="M260" s="12" t="s">
        <v>1903</v>
      </c>
      <c r="N260" s="5"/>
    </row>
    <row r="261" spans="1:14">
      <c r="A261" s="13"/>
      <c r="B261" s="15">
        <v>22651</v>
      </c>
      <c r="C261" s="13"/>
      <c r="D261" s="15">
        <v>3547</v>
      </c>
      <c r="E261" s="13"/>
      <c r="F261" s="13"/>
      <c r="G261" s="13"/>
      <c r="H261" s="15">
        <v>905</v>
      </c>
      <c r="I261" s="15"/>
      <c r="J261" s="15"/>
      <c r="K261" s="13"/>
      <c r="L261" s="13"/>
      <c r="M261" s="13"/>
      <c r="N261" s="5"/>
    </row>
    <row r="262" spans="1:14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5"/>
    </row>
    <row r="263" spans="1:14">
      <c r="A263" s="33" t="s">
        <v>148</v>
      </c>
      <c r="B263" s="29" t="s">
        <v>2129</v>
      </c>
      <c r="C263" s="32" t="s">
        <v>2390</v>
      </c>
      <c r="D263" s="29" t="s">
        <v>2391</v>
      </c>
      <c r="E263" s="29" t="s">
        <v>2390</v>
      </c>
      <c r="F263" s="29"/>
      <c r="G263" s="29"/>
      <c r="H263" s="32" t="s">
        <v>2130</v>
      </c>
      <c r="I263" s="32"/>
      <c r="J263" s="32"/>
      <c r="K263" s="29"/>
      <c r="L263" s="30">
        <v>4110</v>
      </c>
      <c r="M263" s="32" t="s">
        <v>1377</v>
      </c>
      <c r="N263" s="5"/>
    </row>
    <row r="264" spans="1:14">
      <c r="A264" s="30"/>
      <c r="B264" s="29">
        <v>25107</v>
      </c>
      <c r="C264" s="30">
        <v>11452</v>
      </c>
      <c r="D264" s="30">
        <v>2108</v>
      </c>
      <c r="E264" s="30">
        <v>472</v>
      </c>
      <c r="F264" s="30"/>
      <c r="G264" s="30"/>
      <c r="H264" s="29">
        <v>653</v>
      </c>
      <c r="I264" s="29"/>
      <c r="J264" s="29"/>
      <c r="K264" s="30"/>
      <c r="L264" s="30"/>
      <c r="M264" s="30"/>
      <c r="N264" s="5"/>
    </row>
    <row r="265" spans="1:14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5"/>
    </row>
    <row r="266" spans="1:14">
      <c r="A266" s="14" t="s">
        <v>153</v>
      </c>
      <c r="B266" s="15" t="s">
        <v>2392</v>
      </c>
      <c r="C266" s="12" t="s">
        <v>2131</v>
      </c>
      <c r="D266" s="12" t="s">
        <v>2131</v>
      </c>
      <c r="E266" s="15" t="s">
        <v>1182</v>
      </c>
      <c r="F266" s="15"/>
      <c r="G266" s="15"/>
      <c r="H266" s="12"/>
      <c r="I266" s="12"/>
      <c r="J266" s="12"/>
      <c r="K266" s="15"/>
      <c r="L266" s="13">
        <v>3795</v>
      </c>
      <c r="M266" s="12" t="s">
        <v>2132</v>
      </c>
      <c r="N266" s="5"/>
    </row>
    <row r="267" spans="1:14">
      <c r="A267" s="13"/>
      <c r="B267" s="15">
        <v>12673</v>
      </c>
      <c r="C267" s="15">
        <v>16135</v>
      </c>
      <c r="D267" s="15">
        <v>3789</v>
      </c>
      <c r="E267" s="13">
        <v>819</v>
      </c>
      <c r="F267" s="13"/>
      <c r="G267" s="13"/>
      <c r="H267" s="15"/>
      <c r="I267" s="15"/>
      <c r="J267" s="15"/>
      <c r="K267" s="13"/>
      <c r="L267" s="13"/>
      <c r="M267" s="13"/>
      <c r="N267" s="5"/>
    </row>
    <row r="268" spans="1:14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5"/>
    </row>
    <row r="269" spans="1:14">
      <c r="A269" s="33" t="s">
        <v>161</v>
      </c>
      <c r="B269" s="29" t="s">
        <v>2393</v>
      </c>
      <c r="C269" s="32"/>
      <c r="D269" s="32"/>
      <c r="E269" s="29"/>
      <c r="F269" s="29"/>
      <c r="G269" s="29"/>
      <c r="H269" s="32" t="s">
        <v>2394</v>
      </c>
      <c r="I269" s="32"/>
      <c r="J269" s="32"/>
      <c r="K269" s="29"/>
      <c r="L269" s="30">
        <v>16194</v>
      </c>
      <c r="M269" s="32" t="s">
        <v>2395</v>
      </c>
      <c r="N269" s="5"/>
    </row>
    <row r="270" spans="1:14">
      <c r="A270" s="30"/>
      <c r="B270" s="29">
        <v>24415</v>
      </c>
      <c r="C270" s="29"/>
      <c r="D270" s="29"/>
      <c r="E270" s="30"/>
      <c r="F270" s="30"/>
      <c r="G270" s="30"/>
      <c r="H270" s="30">
        <v>1530</v>
      </c>
      <c r="I270" s="30"/>
      <c r="J270" s="30"/>
      <c r="K270" s="30"/>
      <c r="L270" s="30"/>
      <c r="M270" s="30"/>
      <c r="N270" s="5"/>
    </row>
    <row r="271" spans="1:14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5"/>
    </row>
    <row r="272" spans="1:14">
      <c r="A272" s="14" t="s">
        <v>167</v>
      </c>
      <c r="B272" s="15" t="s">
        <v>2135</v>
      </c>
      <c r="C272" s="15" t="s">
        <v>2396</v>
      </c>
      <c r="D272" s="15" t="s">
        <v>2396</v>
      </c>
      <c r="E272" s="15" t="s">
        <v>2137</v>
      </c>
      <c r="F272" s="15"/>
      <c r="G272" s="15"/>
      <c r="H272" s="12"/>
      <c r="I272" s="12"/>
      <c r="J272" s="12"/>
      <c r="K272" s="15"/>
      <c r="L272" s="13">
        <v>3715</v>
      </c>
      <c r="M272" s="12" t="s">
        <v>2138</v>
      </c>
      <c r="N272" s="5"/>
    </row>
    <row r="273" spans="1:14">
      <c r="A273" s="13"/>
      <c r="B273" s="15">
        <v>22686</v>
      </c>
      <c r="C273" s="15">
        <v>16836</v>
      </c>
      <c r="D273" s="15">
        <v>2980</v>
      </c>
      <c r="E273" s="13">
        <v>1003</v>
      </c>
      <c r="F273" s="13"/>
      <c r="G273" s="13"/>
      <c r="H273" s="15"/>
      <c r="I273" s="15"/>
      <c r="J273" s="15"/>
      <c r="K273" s="13"/>
      <c r="L273" s="13"/>
      <c r="M273" s="13"/>
      <c r="N273" s="5"/>
    </row>
    <row r="274" spans="1:1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5"/>
    </row>
    <row r="275" spans="1:14">
      <c r="A275" s="33" t="s">
        <v>172</v>
      </c>
      <c r="B275" s="29" t="s">
        <v>1706</v>
      </c>
      <c r="C275" s="32" t="s">
        <v>2397</v>
      </c>
      <c r="D275" s="32" t="s">
        <v>2397</v>
      </c>
      <c r="E275" s="29" t="s">
        <v>230</v>
      </c>
      <c r="F275" s="29"/>
      <c r="G275" s="29"/>
      <c r="H275" s="32" t="s">
        <v>1899</v>
      </c>
      <c r="I275" s="32"/>
      <c r="J275" s="32"/>
      <c r="K275" s="29"/>
      <c r="L275" s="30">
        <v>3244</v>
      </c>
      <c r="M275" s="32" t="s">
        <v>173</v>
      </c>
      <c r="N275" s="5"/>
    </row>
    <row r="276" spans="1:14">
      <c r="A276" s="30"/>
      <c r="B276" s="29">
        <v>22109</v>
      </c>
      <c r="C276" s="29">
        <v>11424</v>
      </c>
      <c r="D276" s="29">
        <v>2509</v>
      </c>
      <c r="E276" s="30">
        <v>1296</v>
      </c>
      <c r="F276" s="30"/>
      <c r="G276" s="30"/>
      <c r="H276" s="29">
        <v>829</v>
      </c>
      <c r="I276" s="29"/>
      <c r="J276" s="29"/>
      <c r="K276" s="30"/>
      <c r="L276" s="30"/>
      <c r="M276" s="30"/>
      <c r="N276" s="5"/>
    </row>
    <row r="277" spans="1:14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5"/>
    </row>
    <row r="278" spans="1:14">
      <c r="A278" s="14" t="s">
        <v>177</v>
      </c>
      <c r="B278" s="15"/>
      <c r="C278" s="12" t="s">
        <v>2140</v>
      </c>
      <c r="D278" s="12" t="s">
        <v>2140</v>
      </c>
      <c r="E278" s="15"/>
      <c r="F278" s="15"/>
      <c r="G278" s="15"/>
      <c r="H278" s="12"/>
      <c r="I278" s="12"/>
      <c r="J278" s="12"/>
      <c r="K278" s="15"/>
      <c r="L278" s="13">
        <v>15133</v>
      </c>
      <c r="M278" s="12" t="s">
        <v>1717</v>
      </c>
      <c r="N278" s="5"/>
    </row>
    <row r="279" spans="1:14">
      <c r="A279" s="13"/>
      <c r="B279" s="13"/>
      <c r="C279" s="14">
        <v>19682</v>
      </c>
      <c r="D279" s="13">
        <v>5155</v>
      </c>
      <c r="E279" s="13"/>
      <c r="F279" s="13"/>
      <c r="G279" s="13"/>
      <c r="H279" s="14"/>
      <c r="I279" s="14"/>
      <c r="J279" s="14"/>
      <c r="K279" s="13"/>
      <c r="L279" s="13"/>
      <c r="M279" s="5"/>
      <c r="N279" s="5"/>
    </row>
    <row r="280" spans="1:14">
      <c r="A280" s="13"/>
      <c r="B280" s="13"/>
      <c r="C280" s="14"/>
      <c r="D280" s="13"/>
      <c r="E280" s="13"/>
      <c r="F280" s="13"/>
      <c r="G280" s="13"/>
      <c r="H280" s="14"/>
      <c r="I280" s="14"/>
      <c r="J280" s="14"/>
      <c r="K280" s="13"/>
      <c r="L280" s="13"/>
      <c r="M280" s="5"/>
      <c r="N280" s="5"/>
    </row>
    <row r="281" spans="1:14">
      <c r="A281" s="33" t="s">
        <v>6</v>
      </c>
      <c r="B281" s="29" t="s">
        <v>2141</v>
      </c>
      <c r="C281" s="32" t="s">
        <v>2398</v>
      </c>
      <c r="D281" s="29" t="s">
        <v>2141</v>
      </c>
      <c r="E281" s="29" t="s">
        <v>1906</v>
      </c>
      <c r="F281" s="29"/>
      <c r="G281" s="29"/>
      <c r="H281" s="29" t="s">
        <v>2399</v>
      </c>
      <c r="I281" s="29"/>
      <c r="J281" s="29"/>
      <c r="K281" s="29"/>
      <c r="L281" s="30">
        <v>3362</v>
      </c>
      <c r="M281" s="32" t="s">
        <v>1908</v>
      </c>
      <c r="N281" s="5"/>
    </row>
    <row r="282" spans="1:14">
      <c r="A282" s="30"/>
      <c r="B282" s="30">
        <v>22389</v>
      </c>
      <c r="C282" s="30">
        <v>10003</v>
      </c>
      <c r="D282" s="30">
        <v>3568</v>
      </c>
      <c r="E282" s="30">
        <v>821</v>
      </c>
      <c r="F282" s="30"/>
      <c r="G282" s="30"/>
      <c r="H282" s="30">
        <v>1075</v>
      </c>
      <c r="I282" s="30"/>
      <c r="J282" s="30"/>
      <c r="K282" s="30"/>
      <c r="L282" s="30"/>
      <c r="M282" s="30"/>
      <c r="N282" s="5"/>
    </row>
    <row r="283" spans="1:14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5"/>
      <c r="M283" s="13"/>
      <c r="N283" s="5"/>
    </row>
    <row r="284" spans="1:14">
      <c r="A284" s="14" t="s">
        <v>13</v>
      </c>
      <c r="B284" s="15" t="s">
        <v>2142</v>
      </c>
      <c r="C284" s="15" t="s">
        <v>2400</v>
      </c>
      <c r="D284" s="15" t="s">
        <v>2143</v>
      </c>
      <c r="E284" s="15" t="s">
        <v>2144</v>
      </c>
      <c r="F284" s="15"/>
      <c r="G284" s="15"/>
      <c r="H284" s="15" t="s">
        <v>1235</v>
      </c>
      <c r="I284" s="15"/>
      <c r="J284" s="15"/>
      <c r="K284" s="15"/>
      <c r="L284" s="13">
        <v>3632</v>
      </c>
      <c r="M284" s="12" t="s">
        <v>2145</v>
      </c>
      <c r="N284" s="5"/>
    </row>
    <row r="285" spans="1:14">
      <c r="A285" s="13"/>
      <c r="B285" s="13">
        <v>22230</v>
      </c>
      <c r="C285" s="13">
        <v>9277</v>
      </c>
      <c r="D285" s="13">
        <v>1532</v>
      </c>
      <c r="E285" s="13">
        <v>1141</v>
      </c>
      <c r="F285" s="13"/>
      <c r="G285" s="13"/>
      <c r="H285" s="13">
        <v>844</v>
      </c>
      <c r="I285" s="13"/>
      <c r="J285" s="13"/>
      <c r="K285" s="13"/>
      <c r="L285" s="13"/>
      <c r="M285" s="13"/>
      <c r="N285" s="5"/>
    </row>
    <row r="286" spans="1:14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5"/>
    </row>
    <row r="287" spans="1:14">
      <c r="A287" s="33" t="s">
        <v>22</v>
      </c>
      <c r="B287" s="30"/>
      <c r="C287" s="29" t="s">
        <v>438</v>
      </c>
      <c r="D287" s="32" t="s">
        <v>2147</v>
      </c>
      <c r="E287" s="29" t="s">
        <v>438</v>
      </c>
      <c r="F287" s="29"/>
      <c r="G287" s="29"/>
      <c r="H287" s="32" t="s">
        <v>2401</v>
      </c>
      <c r="I287" s="32"/>
      <c r="J287" s="32"/>
      <c r="K287" s="29"/>
      <c r="L287" s="30">
        <v>10908</v>
      </c>
      <c r="M287" s="32" t="s">
        <v>1190</v>
      </c>
      <c r="N287" s="5"/>
    </row>
    <row r="288" spans="1:14">
      <c r="A288" s="30"/>
      <c r="B288" s="30"/>
      <c r="C288" s="30">
        <v>20600</v>
      </c>
      <c r="D288" s="30">
        <v>3469</v>
      </c>
      <c r="E288" s="30">
        <v>1118</v>
      </c>
      <c r="F288" s="30"/>
      <c r="G288" s="30"/>
      <c r="H288" s="30">
        <v>1560</v>
      </c>
      <c r="I288" s="30"/>
      <c r="J288" s="30"/>
      <c r="K288" s="30"/>
      <c r="L288" s="30"/>
      <c r="M288" s="30"/>
      <c r="N288" s="5"/>
    </row>
    <row r="289" spans="1:14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5"/>
    </row>
    <row r="290" spans="1:14">
      <c r="A290" s="14" t="s">
        <v>28</v>
      </c>
      <c r="B290" s="15" t="s">
        <v>2402</v>
      </c>
      <c r="C290" s="12" t="s">
        <v>1910</v>
      </c>
      <c r="D290" s="12" t="s">
        <v>1910</v>
      </c>
      <c r="E290" s="15" t="s">
        <v>2403</v>
      </c>
      <c r="F290" s="15"/>
      <c r="G290" s="15"/>
      <c r="H290" s="15" t="s">
        <v>2403</v>
      </c>
      <c r="I290" s="15"/>
      <c r="J290" s="15"/>
      <c r="K290" s="15"/>
      <c r="L290" s="13">
        <v>2567</v>
      </c>
      <c r="M290" s="12" t="s">
        <v>1911</v>
      </c>
      <c r="N290" s="5"/>
    </row>
    <row r="291" spans="1:14">
      <c r="A291" s="13"/>
      <c r="B291" s="13">
        <v>13664</v>
      </c>
      <c r="C291" s="13">
        <v>16470</v>
      </c>
      <c r="D291" s="13">
        <v>2585</v>
      </c>
      <c r="E291" s="13">
        <v>1952</v>
      </c>
      <c r="F291" s="13"/>
      <c r="G291" s="13"/>
      <c r="H291" s="13">
        <v>1463</v>
      </c>
      <c r="I291" s="13"/>
      <c r="J291" s="13"/>
      <c r="K291" s="13"/>
      <c r="L291" s="13"/>
      <c r="M291" s="13"/>
      <c r="N291" s="5"/>
    </row>
    <row r="292" spans="1:14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5"/>
    </row>
    <row r="293" spans="1:14">
      <c r="A293" s="33" t="s">
        <v>32</v>
      </c>
      <c r="B293" s="29" t="s">
        <v>585</v>
      </c>
      <c r="C293" s="32" t="s">
        <v>2151</v>
      </c>
      <c r="D293" s="32" t="s">
        <v>2151</v>
      </c>
      <c r="E293" s="29" t="s">
        <v>585</v>
      </c>
      <c r="F293" s="29"/>
      <c r="G293" s="29" t="s">
        <v>585</v>
      </c>
      <c r="H293" s="32" t="s">
        <v>1195</v>
      </c>
      <c r="I293" s="32"/>
      <c r="J293" s="32"/>
      <c r="K293" s="29"/>
      <c r="L293" s="30">
        <v>3178</v>
      </c>
      <c r="M293" s="32" t="s">
        <v>1196</v>
      </c>
      <c r="N293" s="5"/>
    </row>
    <row r="294" spans="1:14">
      <c r="A294" s="30"/>
      <c r="B294" s="30">
        <v>10208</v>
      </c>
      <c r="C294" s="30">
        <v>14007</v>
      </c>
      <c r="D294" s="30">
        <v>2236</v>
      </c>
      <c r="E294" s="30">
        <v>553</v>
      </c>
      <c r="F294" s="30"/>
      <c r="G294" s="30">
        <v>362</v>
      </c>
      <c r="H294" s="33">
        <v>1117</v>
      </c>
      <c r="I294" s="33"/>
      <c r="J294" s="33"/>
      <c r="K294" s="30"/>
      <c r="L294" s="30"/>
      <c r="M294" s="30" t="s">
        <v>33</v>
      </c>
      <c r="N294" s="5"/>
    </row>
    <row r="295" spans="1:14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5"/>
    </row>
    <row r="296" spans="1:14">
      <c r="A296" s="14" t="s">
        <v>39</v>
      </c>
      <c r="B296" s="15"/>
      <c r="C296" s="12" t="s">
        <v>2153</v>
      </c>
      <c r="D296" s="12" t="s">
        <v>2153</v>
      </c>
      <c r="E296" s="15" t="s">
        <v>231</v>
      </c>
      <c r="F296" s="15"/>
      <c r="G296" s="15"/>
      <c r="H296" s="15"/>
      <c r="I296" s="15"/>
      <c r="J296" s="15"/>
      <c r="K296" s="15"/>
      <c r="L296" s="13">
        <v>14465</v>
      </c>
      <c r="M296" s="12" t="s">
        <v>1199</v>
      </c>
      <c r="N296" s="5"/>
    </row>
    <row r="297" spans="1:14">
      <c r="A297" s="13"/>
      <c r="B297" s="13"/>
      <c r="C297" s="13">
        <v>18990</v>
      </c>
      <c r="D297" s="13">
        <v>3517</v>
      </c>
      <c r="E297" s="13">
        <v>1243</v>
      </c>
      <c r="F297" s="13"/>
      <c r="G297" s="13"/>
      <c r="H297" s="13"/>
      <c r="I297" s="13"/>
      <c r="J297" s="13"/>
      <c r="K297" s="13"/>
      <c r="L297" s="13"/>
      <c r="M297" s="13"/>
      <c r="N297" s="5"/>
    </row>
    <row r="298" spans="1:14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5"/>
    </row>
    <row r="299" spans="1:14">
      <c r="A299" s="33" t="s">
        <v>48</v>
      </c>
      <c r="B299" s="29" t="s">
        <v>1912</v>
      </c>
      <c r="C299" s="32"/>
      <c r="D299" s="29" t="s">
        <v>1912</v>
      </c>
      <c r="E299" s="29" t="s">
        <v>1912</v>
      </c>
      <c r="F299" s="29"/>
      <c r="G299" s="29"/>
      <c r="H299" s="32" t="s">
        <v>2404</v>
      </c>
      <c r="I299" s="32"/>
      <c r="J299" s="32"/>
      <c r="K299" s="29"/>
      <c r="L299" s="30">
        <v>11724</v>
      </c>
      <c r="M299" s="32" t="s">
        <v>1915</v>
      </c>
      <c r="N299" s="5"/>
    </row>
    <row r="300" spans="1:14">
      <c r="A300" s="30"/>
      <c r="B300" s="30">
        <v>18019</v>
      </c>
      <c r="C300" s="30"/>
      <c r="D300" s="30">
        <v>3467</v>
      </c>
      <c r="E300" s="30">
        <v>1077</v>
      </c>
      <c r="F300" s="30"/>
      <c r="G300" s="30"/>
      <c r="H300" s="30">
        <v>1364</v>
      </c>
      <c r="I300" s="30"/>
      <c r="J300" s="30"/>
      <c r="K300" s="30"/>
      <c r="L300" s="30"/>
      <c r="M300" s="30"/>
      <c r="N300" s="5"/>
    </row>
    <row r="301" spans="1:14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5"/>
    </row>
    <row r="302" spans="1:14">
      <c r="A302" s="14" t="s">
        <v>56</v>
      </c>
      <c r="B302" s="15" t="s">
        <v>2405</v>
      </c>
      <c r="C302" s="12" t="s">
        <v>2156</v>
      </c>
      <c r="D302" s="12" t="s">
        <v>2156</v>
      </c>
      <c r="E302" s="12" t="s">
        <v>2156</v>
      </c>
      <c r="F302" s="12"/>
      <c r="G302" s="15" t="s">
        <v>2405</v>
      </c>
      <c r="H302" s="15"/>
      <c r="I302" s="15"/>
      <c r="J302" s="15"/>
      <c r="K302" s="15"/>
      <c r="L302" s="13">
        <v>4431</v>
      </c>
      <c r="M302" s="12" t="s">
        <v>1721</v>
      </c>
      <c r="N302" s="5"/>
    </row>
    <row r="303" spans="1:14">
      <c r="A303" s="13"/>
      <c r="B303" s="13">
        <v>10037</v>
      </c>
      <c r="C303" s="13">
        <v>21538</v>
      </c>
      <c r="D303" s="13">
        <v>4272</v>
      </c>
      <c r="E303" s="13">
        <v>948</v>
      </c>
      <c r="F303" s="13"/>
      <c r="G303" s="13">
        <v>467</v>
      </c>
      <c r="H303" s="13"/>
      <c r="I303" s="13"/>
      <c r="J303" s="13"/>
      <c r="K303" s="13"/>
      <c r="L303" s="13"/>
      <c r="M303" s="13"/>
      <c r="N303" s="5"/>
    </row>
    <row r="304" spans="1:1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5"/>
    </row>
    <row r="305" spans="1:14">
      <c r="A305" s="33" t="s">
        <v>1384</v>
      </c>
      <c r="B305" s="29"/>
      <c r="C305" s="32" t="s">
        <v>2158</v>
      </c>
      <c r="D305" s="32" t="s">
        <v>2158</v>
      </c>
      <c r="E305" s="29"/>
      <c r="F305" s="29"/>
      <c r="G305" s="29"/>
      <c r="H305" s="32"/>
      <c r="I305" s="32"/>
      <c r="J305" s="32"/>
      <c r="K305" s="29"/>
      <c r="L305" s="30">
        <v>13738</v>
      </c>
      <c r="M305" s="32" t="s">
        <v>2159</v>
      </c>
      <c r="N305" s="5"/>
    </row>
    <row r="306" spans="1:14">
      <c r="A306" s="30"/>
      <c r="B306" s="30"/>
      <c r="C306" s="30">
        <v>22545</v>
      </c>
      <c r="D306" s="30">
        <v>3834</v>
      </c>
      <c r="E306" s="30"/>
      <c r="F306" s="30"/>
      <c r="G306" s="30"/>
      <c r="H306" s="33"/>
      <c r="I306" s="33"/>
      <c r="J306" s="33"/>
      <c r="K306" s="30"/>
      <c r="L306" s="30"/>
      <c r="M306" s="30"/>
      <c r="N306" s="5"/>
    </row>
    <row r="307" spans="1:14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5"/>
    </row>
    <row r="308" spans="1:14">
      <c r="A308" s="14" t="s">
        <v>63</v>
      </c>
      <c r="B308" s="15" t="s">
        <v>190</v>
      </c>
      <c r="C308" s="15" t="s">
        <v>2406</v>
      </c>
      <c r="D308" s="15" t="s">
        <v>2406</v>
      </c>
      <c r="E308" s="15" t="s">
        <v>190</v>
      </c>
      <c r="F308" s="15"/>
      <c r="G308" s="15" t="s">
        <v>190</v>
      </c>
      <c r="H308" s="15"/>
      <c r="I308" s="15"/>
      <c r="J308" s="15"/>
      <c r="K308" s="15"/>
      <c r="L308" s="13">
        <v>3482</v>
      </c>
      <c r="M308" s="12" t="s">
        <v>2407</v>
      </c>
      <c r="N308" s="5"/>
    </row>
    <row r="309" spans="1:14">
      <c r="A309" s="13"/>
      <c r="B309" s="13">
        <v>20347</v>
      </c>
      <c r="C309" s="13">
        <v>15695</v>
      </c>
      <c r="D309" s="13">
        <v>3863</v>
      </c>
      <c r="E309" s="13">
        <v>1540</v>
      </c>
      <c r="F309" s="13"/>
      <c r="G309" s="13">
        <v>892</v>
      </c>
      <c r="H309" s="13"/>
      <c r="I309" s="13"/>
      <c r="J309" s="13"/>
      <c r="K309" s="13"/>
      <c r="L309" s="13"/>
      <c r="M309" s="13"/>
      <c r="N309" s="5"/>
    </row>
    <row r="310" spans="1:14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5"/>
    </row>
    <row r="311" spans="1:14">
      <c r="A311" s="33" t="s">
        <v>70</v>
      </c>
      <c r="B311" s="29"/>
      <c r="C311" s="32" t="s">
        <v>2162</v>
      </c>
      <c r="D311" s="32" t="s">
        <v>2162</v>
      </c>
      <c r="E311" s="32" t="s">
        <v>2162</v>
      </c>
      <c r="F311" s="32"/>
      <c r="G311" s="32" t="s">
        <v>2163</v>
      </c>
      <c r="H311" s="29"/>
      <c r="I311" s="29"/>
      <c r="J311" s="29"/>
      <c r="K311" s="29"/>
      <c r="L311" s="30">
        <v>16416</v>
      </c>
      <c r="M311" s="32" t="s">
        <v>2164</v>
      </c>
      <c r="N311" s="5"/>
    </row>
    <row r="312" spans="1:14">
      <c r="A312" s="30"/>
      <c r="B312" s="30"/>
      <c r="C312" s="30">
        <v>24151</v>
      </c>
      <c r="D312" s="30">
        <v>4771</v>
      </c>
      <c r="E312" s="30">
        <v>1840</v>
      </c>
      <c r="F312" s="30"/>
      <c r="G312" s="30">
        <v>2009</v>
      </c>
      <c r="H312" s="30"/>
      <c r="I312" s="30"/>
      <c r="J312" s="30"/>
      <c r="K312" s="30"/>
      <c r="L312" s="30"/>
      <c r="M312" s="30"/>
      <c r="N312" s="5"/>
    </row>
    <row r="313" spans="1:14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5"/>
    </row>
    <row r="314" spans="1:14">
      <c r="A314" s="14" t="s">
        <v>78</v>
      </c>
      <c r="B314" s="15" t="s">
        <v>2408</v>
      </c>
      <c r="C314" s="12" t="s">
        <v>2166</v>
      </c>
      <c r="D314" s="12" t="s">
        <v>2166</v>
      </c>
      <c r="E314" s="12" t="s">
        <v>2166</v>
      </c>
      <c r="F314" s="12"/>
      <c r="G314" s="12" t="s">
        <v>2408</v>
      </c>
      <c r="H314" s="15"/>
      <c r="I314" s="15"/>
      <c r="J314" s="15"/>
      <c r="K314" s="15" t="s">
        <v>2409</v>
      </c>
      <c r="L314" s="13">
        <v>2783</v>
      </c>
      <c r="M314" s="12" t="s">
        <v>880</v>
      </c>
      <c r="N314" s="5"/>
    </row>
    <row r="315" spans="1:14">
      <c r="A315" s="13"/>
      <c r="B315" s="13">
        <v>10166</v>
      </c>
      <c r="C315" s="13">
        <v>25403</v>
      </c>
      <c r="D315" s="13">
        <v>3833</v>
      </c>
      <c r="E315" s="13">
        <v>1333</v>
      </c>
      <c r="F315" s="13"/>
      <c r="G315" s="13">
        <v>599</v>
      </c>
      <c r="H315" s="13"/>
      <c r="I315" s="13"/>
      <c r="J315" s="13"/>
      <c r="K315" s="13">
        <v>737</v>
      </c>
      <c r="L315" s="13"/>
      <c r="M315" s="13"/>
      <c r="N315" s="5"/>
    </row>
    <row r="316" spans="1:14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5"/>
    </row>
    <row r="317" spans="1:14">
      <c r="A317" s="33" t="s">
        <v>84</v>
      </c>
      <c r="B317" s="29" t="s">
        <v>1203</v>
      </c>
      <c r="C317" s="32" t="s">
        <v>2410</v>
      </c>
      <c r="D317" s="29" t="s">
        <v>2411</v>
      </c>
      <c r="E317" s="29" t="s">
        <v>2410</v>
      </c>
      <c r="F317" s="29"/>
      <c r="G317" s="29" t="s">
        <v>1203</v>
      </c>
      <c r="H317" s="29"/>
      <c r="I317" s="29"/>
      <c r="J317" s="29"/>
      <c r="K317" s="29"/>
      <c r="L317" s="30">
        <v>3845</v>
      </c>
      <c r="M317" s="32" t="s">
        <v>1207</v>
      </c>
      <c r="N317" s="5"/>
    </row>
    <row r="318" spans="1:14">
      <c r="A318" s="30"/>
      <c r="B318" s="30">
        <v>30188</v>
      </c>
      <c r="C318" s="30">
        <v>9974</v>
      </c>
      <c r="D318" s="30">
        <v>1522</v>
      </c>
      <c r="E318" s="30">
        <v>1032</v>
      </c>
      <c r="F318" s="30"/>
      <c r="G318" s="30">
        <v>1146</v>
      </c>
      <c r="H318" s="30"/>
      <c r="I318" s="30"/>
      <c r="J318" s="30"/>
      <c r="K318" s="30"/>
      <c r="L318" s="30"/>
      <c r="M318" s="30"/>
      <c r="N318" s="5"/>
    </row>
    <row r="319" spans="1:14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5"/>
    </row>
    <row r="320" spans="1:14">
      <c r="A320" s="14" t="s">
        <v>89</v>
      </c>
      <c r="B320" s="15" t="s">
        <v>1545</v>
      </c>
      <c r="C320" s="12" t="s">
        <v>2412</v>
      </c>
      <c r="D320" s="12" t="s">
        <v>2412</v>
      </c>
      <c r="E320" s="15" t="s">
        <v>1545</v>
      </c>
      <c r="F320" s="15"/>
      <c r="G320" s="15" t="s">
        <v>1547</v>
      </c>
      <c r="H320" s="15" t="s">
        <v>2412</v>
      </c>
      <c r="I320" s="15"/>
      <c r="J320" s="15"/>
      <c r="K320" s="15" t="s">
        <v>2169</v>
      </c>
      <c r="L320" s="13">
        <v>3521</v>
      </c>
      <c r="M320" s="12" t="s">
        <v>1548</v>
      </c>
      <c r="N320" s="5"/>
    </row>
    <row r="321" spans="1:14">
      <c r="A321" s="13"/>
      <c r="B321" s="13">
        <v>24957</v>
      </c>
      <c r="C321" s="13">
        <v>9460</v>
      </c>
      <c r="D321" s="13">
        <v>1917</v>
      </c>
      <c r="E321" s="13">
        <v>2158</v>
      </c>
      <c r="F321" s="13"/>
      <c r="G321" s="13">
        <v>616</v>
      </c>
      <c r="H321" s="13">
        <v>747</v>
      </c>
      <c r="I321" s="13"/>
      <c r="J321" s="13"/>
      <c r="K321" s="13">
        <v>897</v>
      </c>
      <c r="L321" s="13"/>
      <c r="M321" s="13"/>
      <c r="N321" s="5"/>
    </row>
    <row r="322" spans="1:14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>
      <c r="A323" s="33" t="s">
        <v>96</v>
      </c>
      <c r="B323" s="29" t="s">
        <v>1211</v>
      </c>
      <c r="C323" s="32" t="s">
        <v>2413</v>
      </c>
      <c r="D323" s="32" t="s">
        <v>2413</v>
      </c>
      <c r="E323" s="29" t="s">
        <v>1212</v>
      </c>
      <c r="F323" s="29"/>
      <c r="G323" s="29"/>
      <c r="H323" s="32"/>
      <c r="I323" s="32"/>
      <c r="J323" s="32"/>
      <c r="K323" s="29"/>
      <c r="L323" s="30">
        <v>6442</v>
      </c>
      <c r="M323" s="32" t="s">
        <v>1213</v>
      </c>
      <c r="N323" s="5"/>
    </row>
    <row r="324" spans="1:14">
      <c r="A324" s="30"/>
      <c r="B324" s="30">
        <v>20784</v>
      </c>
      <c r="C324" s="30">
        <v>6082</v>
      </c>
      <c r="D324" s="30">
        <v>1532</v>
      </c>
      <c r="E324" s="30">
        <v>1699</v>
      </c>
      <c r="F324" s="30"/>
      <c r="G324" s="30"/>
      <c r="H324" s="30"/>
      <c r="I324" s="30"/>
      <c r="J324" s="30"/>
      <c r="K324" s="30"/>
      <c r="L324" s="30"/>
      <c r="M324" s="30"/>
      <c r="N324" s="5"/>
    </row>
    <row r="325" spans="1:14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5"/>
    </row>
    <row r="326" spans="1:14">
      <c r="A326" s="14" t="s">
        <v>99</v>
      </c>
      <c r="B326" s="15" t="s">
        <v>2414</v>
      </c>
      <c r="C326" s="12" t="s">
        <v>2172</v>
      </c>
      <c r="D326" s="12" t="s">
        <v>2172</v>
      </c>
      <c r="E326" s="12" t="s">
        <v>1726</v>
      </c>
      <c r="F326" s="12"/>
      <c r="G326" s="12"/>
      <c r="H326" s="15"/>
      <c r="I326" s="15"/>
      <c r="J326" s="15"/>
      <c r="K326" s="15" t="s">
        <v>2415</v>
      </c>
      <c r="L326" s="13">
        <v>5303</v>
      </c>
      <c r="M326" s="12" t="s">
        <v>1925</v>
      </c>
      <c r="N326" s="5"/>
    </row>
    <row r="327" spans="1:14">
      <c r="A327" s="13"/>
      <c r="B327" s="13">
        <v>15729</v>
      </c>
      <c r="C327" s="13">
        <v>27202</v>
      </c>
      <c r="D327" s="13">
        <v>3761</v>
      </c>
      <c r="E327" s="14">
        <v>1598</v>
      </c>
      <c r="F327" s="14"/>
      <c r="G327" s="14"/>
      <c r="H327" s="13"/>
      <c r="I327" s="13"/>
      <c r="J327" s="13"/>
      <c r="K327" s="13">
        <v>687</v>
      </c>
      <c r="L327" s="13"/>
      <c r="M327" s="13"/>
      <c r="N327" s="5"/>
    </row>
    <row r="328" spans="1:14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5"/>
    </row>
    <row r="329" spans="1:14">
      <c r="A329" s="33" t="s">
        <v>111</v>
      </c>
      <c r="B329" s="29"/>
      <c r="C329" s="32" t="s">
        <v>1724</v>
      </c>
      <c r="D329" s="32" t="s">
        <v>1724</v>
      </c>
      <c r="E329" s="29" t="s">
        <v>2174</v>
      </c>
      <c r="F329" s="29"/>
      <c r="G329" s="29"/>
      <c r="H329" s="32" t="s">
        <v>1724</v>
      </c>
      <c r="I329" s="32"/>
      <c r="J329" s="32"/>
      <c r="K329" s="29"/>
      <c r="L329" s="30">
        <v>14974</v>
      </c>
      <c r="M329" s="32" t="s">
        <v>1725</v>
      </c>
      <c r="N329" s="5"/>
    </row>
    <row r="330" spans="1:14">
      <c r="A330" s="30"/>
      <c r="B330" s="30"/>
      <c r="C330" s="30">
        <v>23789</v>
      </c>
      <c r="D330" s="30">
        <v>4426</v>
      </c>
      <c r="E330" s="30">
        <v>2393</v>
      </c>
      <c r="F330" s="30"/>
      <c r="G330" s="30"/>
      <c r="H330" s="30">
        <v>1396</v>
      </c>
      <c r="I330" s="30"/>
      <c r="J330" s="30"/>
      <c r="K330" s="30"/>
      <c r="L330" s="30"/>
      <c r="M330" s="30"/>
      <c r="N330" s="5"/>
    </row>
    <row r="331" spans="1:14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5"/>
    </row>
    <row r="332" spans="1:14">
      <c r="A332" s="14" t="s">
        <v>119</v>
      </c>
      <c r="B332" s="15"/>
      <c r="C332" s="12" t="s">
        <v>2175</v>
      </c>
      <c r="D332" s="12" t="s">
        <v>2175</v>
      </c>
      <c r="E332" s="15"/>
      <c r="F332" s="15"/>
      <c r="G332" s="15"/>
      <c r="H332" s="15"/>
      <c r="I332" s="15"/>
      <c r="J332" s="15"/>
      <c r="K332" s="15"/>
      <c r="L332" s="13">
        <v>13820</v>
      </c>
      <c r="M332" s="12" t="s">
        <v>2176</v>
      </c>
      <c r="N332" s="5"/>
    </row>
    <row r="333" spans="1:14">
      <c r="A333" s="13"/>
      <c r="B333" s="13"/>
      <c r="C333" s="13">
        <v>25737</v>
      </c>
      <c r="D333" s="13">
        <v>4068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5"/>
    </row>
    <row r="334" spans="1:14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5"/>
    </row>
    <row r="335" spans="1:14">
      <c r="A335" s="33" t="s">
        <v>127</v>
      </c>
      <c r="B335" s="29" t="s">
        <v>2416</v>
      </c>
      <c r="C335" s="32" t="s">
        <v>2177</v>
      </c>
      <c r="D335" s="32" t="s">
        <v>2177</v>
      </c>
      <c r="E335" s="29" t="s">
        <v>1730</v>
      </c>
      <c r="F335" s="29"/>
      <c r="G335" s="29"/>
      <c r="H335" s="29"/>
      <c r="I335" s="29"/>
      <c r="J335" s="29"/>
      <c r="K335" s="29"/>
      <c r="L335" s="30">
        <v>3008</v>
      </c>
      <c r="M335" s="32" t="s">
        <v>1731</v>
      </c>
      <c r="N335" s="5"/>
    </row>
    <row r="336" spans="1:14">
      <c r="A336" s="30"/>
      <c r="B336" s="30">
        <v>10124</v>
      </c>
      <c r="C336" s="30">
        <v>19699</v>
      </c>
      <c r="D336" s="30">
        <v>1962</v>
      </c>
      <c r="E336" s="30">
        <v>865</v>
      </c>
      <c r="F336" s="30"/>
      <c r="G336" s="30"/>
      <c r="H336" s="30"/>
      <c r="I336" s="30"/>
      <c r="J336" s="30"/>
      <c r="K336" s="30"/>
      <c r="L336" s="30"/>
      <c r="M336" s="30"/>
      <c r="N336" s="5"/>
    </row>
    <row r="337" spans="1:14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5"/>
    </row>
    <row r="338" spans="1:14">
      <c r="A338" s="14" t="s">
        <v>131</v>
      </c>
      <c r="B338" s="15" t="s">
        <v>1219</v>
      </c>
      <c r="C338" s="12" t="s">
        <v>2417</v>
      </c>
      <c r="D338" s="12" t="s">
        <v>2417</v>
      </c>
      <c r="E338" s="15" t="s">
        <v>382</v>
      </c>
      <c r="F338" s="15"/>
      <c r="G338" s="15"/>
      <c r="H338" s="15"/>
      <c r="I338" s="15"/>
      <c r="J338" s="15"/>
      <c r="K338" s="12" t="s">
        <v>2418</v>
      </c>
      <c r="L338" s="13">
        <v>2157</v>
      </c>
      <c r="M338" s="12" t="s">
        <v>132</v>
      </c>
      <c r="N338" s="5"/>
    </row>
    <row r="339" spans="1:14">
      <c r="A339" s="13"/>
      <c r="B339" s="13">
        <v>19198</v>
      </c>
      <c r="C339" s="13">
        <v>10022</v>
      </c>
      <c r="D339" s="13">
        <v>2281</v>
      </c>
      <c r="E339" s="13">
        <v>2046</v>
      </c>
      <c r="F339" s="13"/>
      <c r="G339" s="13"/>
      <c r="H339" s="13"/>
      <c r="I339" s="13"/>
      <c r="J339" s="13"/>
      <c r="K339" s="13">
        <v>373</v>
      </c>
      <c r="L339" s="13"/>
      <c r="M339" s="13"/>
      <c r="N339" s="5"/>
    </row>
    <row r="340" spans="1:14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5"/>
    </row>
    <row r="341" spans="1:14">
      <c r="A341" s="33" t="s">
        <v>137</v>
      </c>
      <c r="B341" s="29" t="s">
        <v>2419</v>
      </c>
      <c r="C341" s="32" t="s">
        <v>1403</v>
      </c>
      <c r="D341" s="32" t="s">
        <v>1403</v>
      </c>
      <c r="E341" s="29" t="s">
        <v>587</v>
      </c>
      <c r="F341" s="29"/>
      <c r="G341" s="29" t="s">
        <v>587</v>
      </c>
      <c r="H341" s="29" t="s">
        <v>587</v>
      </c>
      <c r="I341" s="29"/>
      <c r="J341" s="29"/>
      <c r="K341" s="29" t="s">
        <v>2180</v>
      </c>
      <c r="L341" s="30">
        <v>3937</v>
      </c>
      <c r="M341" s="32" t="s">
        <v>2179</v>
      </c>
      <c r="N341" s="5"/>
    </row>
    <row r="342" spans="1:14">
      <c r="A342" s="30"/>
      <c r="B342" s="30">
        <v>9941</v>
      </c>
      <c r="C342" s="30">
        <v>15591</v>
      </c>
      <c r="D342" s="30">
        <v>1629</v>
      </c>
      <c r="E342" s="30">
        <v>871</v>
      </c>
      <c r="F342" s="30"/>
      <c r="G342" s="30">
        <v>163</v>
      </c>
      <c r="H342" s="30">
        <v>119</v>
      </c>
      <c r="I342" s="30"/>
      <c r="J342" s="30"/>
      <c r="K342" s="30">
        <v>47</v>
      </c>
      <c r="L342" s="30"/>
      <c r="M342" s="30"/>
      <c r="N342" s="5"/>
    </row>
    <row r="343" spans="1:14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5"/>
    </row>
    <row r="344" spans="1:14">
      <c r="A344" s="14" t="s">
        <v>146</v>
      </c>
      <c r="B344" s="15"/>
      <c r="C344" s="12" t="s">
        <v>2181</v>
      </c>
      <c r="D344" s="12" t="s">
        <v>2181</v>
      </c>
      <c r="E344" s="15"/>
      <c r="F344" s="15"/>
      <c r="G344" s="15"/>
      <c r="H344" s="15"/>
      <c r="I344" s="15"/>
      <c r="J344" s="15"/>
      <c r="K344" s="15"/>
      <c r="L344" s="13">
        <v>12150</v>
      </c>
      <c r="M344" s="12" t="s">
        <v>441</v>
      </c>
      <c r="N344" s="5"/>
    </row>
    <row r="345" spans="1:14">
      <c r="A345" s="13"/>
      <c r="B345" s="13"/>
      <c r="C345" s="13">
        <v>24254</v>
      </c>
      <c r="D345" s="13">
        <v>4687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5"/>
    </row>
    <row r="346" spans="1:14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5"/>
    </row>
    <row r="347" spans="1:14">
      <c r="A347" s="33" t="s">
        <v>151</v>
      </c>
      <c r="B347" s="29" t="s">
        <v>2420</v>
      </c>
      <c r="C347" s="32" t="s">
        <v>2182</v>
      </c>
      <c r="D347" s="32" t="s">
        <v>2182</v>
      </c>
      <c r="E347" s="29" t="s">
        <v>2420</v>
      </c>
      <c r="F347" s="29"/>
      <c r="G347" s="29"/>
      <c r="H347" s="29"/>
      <c r="I347" s="29"/>
      <c r="J347" s="29"/>
      <c r="K347" s="29" t="s">
        <v>2185</v>
      </c>
      <c r="L347" s="30">
        <v>1781</v>
      </c>
      <c r="M347" s="32" t="s">
        <v>2184</v>
      </c>
      <c r="N347" s="5"/>
    </row>
    <row r="348" spans="1:14">
      <c r="A348" s="30"/>
      <c r="B348" s="30">
        <v>5715</v>
      </c>
      <c r="C348" s="30">
        <v>18093</v>
      </c>
      <c r="D348" s="30">
        <v>2646</v>
      </c>
      <c r="E348" s="30">
        <v>725</v>
      </c>
      <c r="F348" s="30"/>
      <c r="G348" s="30"/>
      <c r="H348" s="30"/>
      <c r="I348" s="30"/>
      <c r="J348" s="30"/>
      <c r="K348" s="30">
        <v>391</v>
      </c>
      <c r="L348" s="30"/>
      <c r="M348" s="30"/>
      <c r="N348" s="5"/>
    </row>
    <row r="349" spans="1:14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5"/>
    </row>
    <row r="350" spans="1:14">
      <c r="A350" s="14" t="s">
        <v>157</v>
      </c>
      <c r="B350" s="15"/>
      <c r="C350" s="12" t="s">
        <v>1392</v>
      </c>
      <c r="D350" s="12" t="s">
        <v>1392</v>
      </c>
      <c r="E350" s="15"/>
      <c r="F350" s="15"/>
      <c r="G350" s="15"/>
      <c r="H350" s="15"/>
      <c r="I350" s="15"/>
      <c r="J350" s="15"/>
      <c r="K350" s="12"/>
      <c r="L350" s="13">
        <v>11994</v>
      </c>
      <c r="M350" s="12" t="s">
        <v>1394</v>
      </c>
      <c r="N350" s="5"/>
    </row>
    <row r="351" spans="1:14">
      <c r="A351" s="13"/>
      <c r="B351" s="13"/>
      <c r="C351" s="13">
        <v>26482</v>
      </c>
      <c r="D351" s="13">
        <v>5163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5"/>
    </row>
    <row r="352" spans="1:14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5"/>
    </row>
    <row r="353" spans="1:14">
      <c r="A353" s="33" t="s">
        <v>165</v>
      </c>
      <c r="B353" s="29" t="s">
        <v>1225</v>
      </c>
      <c r="C353" s="32" t="s">
        <v>2421</v>
      </c>
      <c r="D353" s="32" t="s">
        <v>2421</v>
      </c>
      <c r="E353" s="29" t="s">
        <v>1226</v>
      </c>
      <c r="F353" s="29"/>
      <c r="G353" s="29"/>
      <c r="H353" s="32"/>
      <c r="I353" s="32"/>
      <c r="J353" s="32"/>
      <c r="K353" s="29"/>
      <c r="L353" s="30">
        <v>1974</v>
      </c>
      <c r="M353" s="32" t="s">
        <v>1227</v>
      </c>
      <c r="N353" s="5"/>
    </row>
    <row r="354" spans="1:14">
      <c r="A354" s="30"/>
      <c r="B354" s="30">
        <v>17791</v>
      </c>
      <c r="C354" s="30">
        <v>5832</v>
      </c>
      <c r="D354" s="30">
        <v>1314</v>
      </c>
      <c r="E354" s="30">
        <v>1936</v>
      </c>
      <c r="F354" s="30"/>
      <c r="G354" s="30"/>
      <c r="H354" s="30"/>
      <c r="I354" s="30"/>
      <c r="J354" s="30"/>
      <c r="K354" s="30"/>
      <c r="L354" s="30"/>
      <c r="M354" s="30"/>
      <c r="N354" s="5"/>
    </row>
    <row r="355" spans="1:14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5"/>
    </row>
    <row r="356" spans="1:14">
      <c r="A356" s="14" t="s">
        <v>169</v>
      </c>
      <c r="B356" s="15" t="s">
        <v>2422</v>
      </c>
      <c r="C356" s="12" t="s">
        <v>2107</v>
      </c>
      <c r="D356" s="15" t="s">
        <v>2422</v>
      </c>
      <c r="E356" s="15"/>
      <c r="F356" s="15"/>
      <c r="G356" s="15"/>
      <c r="H356" s="15"/>
      <c r="I356" s="15"/>
      <c r="J356" s="15"/>
      <c r="K356" s="12"/>
      <c r="L356" s="13">
        <v>4284</v>
      </c>
      <c r="M356" s="12" t="s">
        <v>2190</v>
      </c>
      <c r="N356" s="5"/>
    </row>
    <row r="357" spans="1:14">
      <c r="A357" s="13"/>
      <c r="B357" s="13">
        <v>7779</v>
      </c>
      <c r="C357" s="13">
        <v>21817</v>
      </c>
      <c r="D357" s="13">
        <v>2884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5"/>
    </row>
    <row r="358" spans="1:14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5"/>
    </row>
    <row r="359" spans="1:14">
      <c r="A359" s="33" t="s">
        <v>175</v>
      </c>
      <c r="B359" s="29" t="s">
        <v>2191</v>
      </c>
      <c r="C359" s="32" t="s">
        <v>2423</v>
      </c>
      <c r="D359" s="32" t="s">
        <v>2424</v>
      </c>
      <c r="E359" s="29" t="s">
        <v>2192</v>
      </c>
      <c r="F359" s="29"/>
      <c r="G359" s="29"/>
      <c r="H359" s="32"/>
      <c r="I359" s="32"/>
      <c r="J359" s="32"/>
      <c r="K359" s="29" t="s">
        <v>2194</v>
      </c>
      <c r="L359" s="30">
        <v>1547</v>
      </c>
      <c r="M359" s="32" t="s">
        <v>2193</v>
      </c>
      <c r="N359" s="5"/>
    </row>
    <row r="360" spans="1:14">
      <c r="A360" s="30"/>
      <c r="B360" s="30">
        <v>27563</v>
      </c>
      <c r="C360" s="30">
        <v>6561</v>
      </c>
      <c r="D360" s="30">
        <v>1620</v>
      </c>
      <c r="E360" s="30">
        <v>2615</v>
      </c>
      <c r="F360" s="30"/>
      <c r="G360" s="30"/>
      <c r="H360" s="30"/>
      <c r="I360" s="30"/>
      <c r="J360" s="30"/>
      <c r="K360" s="30">
        <v>339</v>
      </c>
      <c r="L360" s="30"/>
      <c r="M360" s="30"/>
      <c r="N360" s="5"/>
    </row>
    <row r="361" spans="1:14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5"/>
    </row>
    <row r="362" spans="1:14">
      <c r="A362" s="14" t="s">
        <v>178</v>
      </c>
      <c r="B362" s="15" t="s">
        <v>1397</v>
      </c>
      <c r="C362" s="12" t="s">
        <v>2425</v>
      </c>
      <c r="D362" s="12" t="s">
        <v>2425</v>
      </c>
      <c r="E362" s="15" t="s">
        <v>1399</v>
      </c>
      <c r="F362" s="15"/>
      <c r="G362" s="15" t="s">
        <v>2481</v>
      </c>
      <c r="H362" s="15"/>
      <c r="I362" s="15" t="s">
        <v>2481</v>
      </c>
      <c r="J362" s="15"/>
      <c r="K362" s="12"/>
      <c r="L362" s="13">
        <v>1934</v>
      </c>
      <c r="M362" s="12" t="s">
        <v>1400</v>
      </c>
      <c r="N362" s="5"/>
    </row>
    <row r="363" spans="1:14">
      <c r="A363" s="13"/>
      <c r="B363" s="13">
        <v>18080</v>
      </c>
      <c r="C363" s="13">
        <v>7960</v>
      </c>
      <c r="D363" s="13">
        <v>1790</v>
      </c>
      <c r="E363" s="13">
        <v>1365</v>
      </c>
      <c r="F363" s="13"/>
      <c r="G363" s="13">
        <v>249</v>
      </c>
      <c r="H363" s="13"/>
      <c r="I363" s="13">
        <v>251</v>
      </c>
      <c r="J363" s="13"/>
      <c r="K363" s="13"/>
      <c r="L363" s="13"/>
      <c r="M363" s="13"/>
      <c r="N363" s="5"/>
    </row>
    <row r="364" spans="1:1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5"/>
    </row>
    <row r="365" spans="1:14">
      <c r="A365" s="30" t="s">
        <v>180</v>
      </c>
      <c r="B365" s="29" t="s">
        <v>191</v>
      </c>
      <c r="C365" s="29" t="s">
        <v>2426</v>
      </c>
      <c r="D365" s="29" t="s">
        <v>2426</v>
      </c>
      <c r="E365" s="29" t="s">
        <v>191</v>
      </c>
      <c r="F365" s="29"/>
      <c r="G365" s="29" t="s">
        <v>1032</v>
      </c>
      <c r="H365" s="29" t="s">
        <v>2426</v>
      </c>
      <c r="I365" s="29"/>
      <c r="J365" s="29"/>
      <c r="K365" s="29" t="s">
        <v>1936</v>
      </c>
      <c r="L365" s="30">
        <v>1574</v>
      </c>
      <c r="M365" s="32" t="s">
        <v>192</v>
      </c>
      <c r="N365" s="5"/>
    </row>
    <row r="366" spans="1:14">
      <c r="A366" s="33"/>
      <c r="B366" s="30">
        <v>15075</v>
      </c>
      <c r="C366" s="30">
        <v>12696</v>
      </c>
      <c r="D366" s="30">
        <v>2238</v>
      </c>
      <c r="E366" s="30">
        <v>1115</v>
      </c>
      <c r="F366" s="30"/>
      <c r="G366" s="30">
        <v>332</v>
      </c>
      <c r="H366" s="30">
        <v>814</v>
      </c>
      <c r="I366" s="30"/>
      <c r="J366" s="30"/>
      <c r="K366" s="30">
        <v>168</v>
      </c>
      <c r="L366" s="30"/>
      <c r="M366" s="30"/>
      <c r="N366" s="5"/>
    </row>
    <row r="367" spans="1:14">
      <c r="A367" s="14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5"/>
    </row>
    <row r="368" spans="1:14">
      <c r="A368" s="13" t="s">
        <v>182</v>
      </c>
      <c r="B368" s="15" t="s">
        <v>2427</v>
      </c>
      <c r="C368" s="12" t="s">
        <v>2198</v>
      </c>
      <c r="D368" s="12" t="s">
        <v>2198</v>
      </c>
      <c r="E368" s="12" t="s">
        <v>2198</v>
      </c>
      <c r="F368" s="12"/>
      <c r="G368" s="12"/>
      <c r="H368" s="15"/>
      <c r="I368" s="15"/>
      <c r="J368" s="15"/>
      <c r="K368" s="15"/>
      <c r="L368" s="13">
        <v>3722</v>
      </c>
      <c r="M368" s="12" t="s">
        <v>2200</v>
      </c>
      <c r="N368" s="5"/>
    </row>
    <row r="369" spans="1:14">
      <c r="A369" s="13"/>
      <c r="B369" s="13">
        <v>10839</v>
      </c>
      <c r="C369" s="13">
        <v>27267</v>
      </c>
      <c r="D369" s="13">
        <v>4885</v>
      </c>
      <c r="E369" s="13">
        <v>1353</v>
      </c>
      <c r="F369" s="13"/>
      <c r="G369" s="13"/>
      <c r="H369" s="13"/>
      <c r="I369" s="13"/>
      <c r="J369" s="13"/>
      <c r="K369" s="13"/>
      <c r="L369" s="13"/>
      <c r="M369" s="13"/>
      <c r="N369" s="5"/>
    </row>
    <row r="370" spans="1:14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5"/>
    </row>
    <row r="371" spans="1:14">
      <c r="A371" s="33" t="s">
        <v>183</v>
      </c>
      <c r="B371" s="29" t="s">
        <v>2343</v>
      </c>
      <c r="C371" s="32" t="s">
        <v>2202</v>
      </c>
      <c r="D371" s="32"/>
      <c r="E371" s="29"/>
      <c r="F371" s="29"/>
      <c r="G371" s="29"/>
      <c r="H371" s="32"/>
      <c r="I371" s="32"/>
      <c r="J371" s="32"/>
      <c r="K371" s="29"/>
      <c r="L371" s="30">
        <v>39224</v>
      </c>
      <c r="M371" s="32" t="s">
        <v>240</v>
      </c>
      <c r="N371" s="5"/>
    </row>
    <row r="372" spans="1:14">
      <c r="A372" s="30"/>
      <c r="B372" s="30">
        <v>8789</v>
      </c>
      <c r="C372" s="30">
        <v>23118</v>
      </c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5"/>
    </row>
    <row r="373" spans="1:14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5"/>
    </row>
    <row r="374" spans="1:14">
      <c r="A374" s="13" t="s">
        <v>184</v>
      </c>
      <c r="B374" s="15" t="s">
        <v>2428</v>
      </c>
      <c r="C374" s="15" t="s">
        <v>2203</v>
      </c>
      <c r="D374" s="15" t="s">
        <v>2203</v>
      </c>
      <c r="E374" s="15" t="s">
        <v>1827</v>
      </c>
      <c r="F374" s="15"/>
      <c r="G374" s="15"/>
      <c r="H374" s="15"/>
      <c r="I374" s="15"/>
      <c r="J374" s="15"/>
      <c r="K374" s="15"/>
      <c r="L374" s="13">
        <v>3372</v>
      </c>
      <c r="M374" s="12" t="s">
        <v>2204</v>
      </c>
      <c r="N374" s="5"/>
    </row>
    <row r="375" spans="1:14">
      <c r="A375" s="13"/>
      <c r="B375" s="13">
        <v>11356</v>
      </c>
      <c r="C375" s="13">
        <v>23850</v>
      </c>
      <c r="D375" s="13">
        <v>3203</v>
      </c>
      <c r="E375" s="13">
        <v>856</v>
      </c>
      <c r="F375" s="13"/>
      <c r="G375" s="13"/>
      <c r="H375" s="13"/>
      <c r="I375" s="13"/>
      <c r="J375" s="13"/>
      <c r="K375" s="13"/>
      <c r="L375" s="13"/>
      <c r="M375" s="13"/>
      <c r="N375" s="5"/>
    </row>
    <row r="376" spans="1:14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5"/>
    </row>
    <row r="377" spans="1:14">
      <c r="A377" s="30" t="s">
        <v>185</v>
      </c>
      <c r="B377" s="29"/>
      <c r="C377" s="29" t="s">
        <v>2205</v>
      </c>
      <c r="D377" s="29" t="s">
        <v>2205</v>
      </c>
      <c r="E377" s="29"/>
      <c r="F377" s="29"/>
      <c r="G377" s="29"/>
      <c r="H377" s="29"/>
      <c r="I377" s="29"/>
      <c r="J377" s="29"/>
      <c r="K377" s="29"/>
      <c r="L377" s="30">
        <v>15523</v>
      </c>
      <c r="M377" s="32" t="s">
        <v>1945</v>
      </c>
      <c r="N377" s="5"/>
    </row>
    <row r="378" spans="1:14">
      <c r="A378" s="30"/>
      <c r="B378" s="30"/>
      <c r="C378" s="30">
        <v>19256</v>
      </c>
      <c r="D378" s="30">
        <v>2912</v>
      </c>
      <c r="E378" s="30"/>
      <c r="F378" s="30"/>
      <c r="G378" s="30"/>
      <c r="H378" s="30"/>
      <c r="I378" s="30"/>
      <c r="J378" s="30"/>
      <c r="K378" s="30"/>
      <c r="L378" s="30"/>
      <c r="M378" s="30"/>
      <c r="N378" s="5"/>
    </row>
    <row r="379" spans="1:14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>
      <c r="A380" s="14" t="s">
        <v>7</v>
      </c>
      <c r="B380" s="15" t="s">
        <v>2207</v>
      </c>
      <c r="C380" s="15" t="s">
        <v>2429</v>
      </c>
      <c r="D380" s="15" t="s">
        <v>2429</v>
      </c>
      <c r="E380" s="15"/>
      <c r="F380" s="15"/>
      <c r="G380" s="15"/>
      <c r="H380" s="15"/>
      <c r="I380" s="15"/>
      <c r="J380" s="15"/>
      <c r="K380" s="15"/>
      <c r="L380" s="13">
        <v>2598</v>
      </c>
      <c r="M380" s="12" t="s">
        <v>2208</v>
      </c>
      <c r="N380" s="5"/>
    </row>
    <row r="381" spans="1:14">
      <c r="A381" s="13"/>
      <c r="B381" s="13">
        <v>21792</v>
      </c>
      <c r="C381" s="13">
        <v>10729</v>
      </c>
      <c r="D381" s="13">
        <v>1702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5"/>
    </row>
    <row r="382" spans="1:14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5"/>
    </row>
    <row r="383" spans="1:14">
      <c r="A383" s="33" t="s">
        <v>9</v>
      </c>
      <c r="B383" s="29"/>
      <c r="C383" s="32" t="s">
        <v>2430</v>
      </c>
      <c r="D383" s="32" t="s">
        <v>2430</v>
      </c>
      <c r="E383" s="29"/>
      <c r="F383" s="29"/>
      <c r="G383" s="29"/>
      <c r="H383" s="29" t="s">
        <v>2431</v>
      </c>
      <c r="I383" s="29"/>
      <c r="J383" s="29"/>
      <c r="K383" s="29"/>
      <c r="L383" s="30">
        <v>10210</v>
      </c>
      <c r="M383" s="32" t="s">
        <v>2432</v>
      </c>
      <c r="N383" s="5"/>
    </row>
    <row r="384" spans="1:14">
      <c r="A384" s="30"/>
      <c r="B384" s="30"/>
      <c r="C384" s="30">
        <v>21701</v>
      </c>
      <c r="D384" s="30">
        <v>4343</v>
      </c>
      <c r="E384" s="30"/>
      <c r="F384" s="30"/>
      <c r="G384" s="30"/>
      <c r="H384" s="30">
        <v>952</v>
      </c>
      <c r="I384" s="30"/>
      <c r="J384" s="30"/>
      <c r="K384" s="30"/>
      <c r="L384" s="30"/>
      <c r="M384" s="30"/>
      <c r="N384" s="5"/>
    </row>
    <row r="385" spans="1:14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5"/>
    </row>
    <row r="386" spans="1:14">
      <c r="A386" s="14" t="s">
        <v>15</v>
      </c>
      <c r="B386" s="15"/>
      <c r="C386" s="12" t="s">
        <v>2209</v>
      </c>
      <c r="D386" s="12" t="s">
        <v>2209</v>
      </c>
      <c r="E386" s="15"/>
      <c r="F386" s="15"/>
      <c r="G386" s="15"/>
      <c r="H386" s="15"/>
      <c r="I386" s="15"/>
      <c r="J386" s="15"/>
      <c r="K386" s="15"/>
      <c r="L386" s="13">
        <v>10540</v>
      </c>
      <c r="M386" s="12" t="s">
        <v>1957</v>
      </c>
      <c r="N386" s="5"/>
    </row>
    <row r="387" spans="1:14">
      <c r="A387" s="13"/>
      <c r="B387" s="13"/>
      <c r="C387" s="13">
        <v>21894</v>
      </c>
      <c r="D387" s="13">
        <v>3412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5"/>
    </row>
    <row r="388" spans="1:14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5"/>
    </row>
    <row r="389" spans="1:14">
      <c r="A389" s="33" t="s">
        <v>17</v>
      </c>
      <c r="B389" s="29"/>
      <c r="C389" s="32" t="s">
        <v>1237</v>
      </c>
      <c r="D389" s="32" t="s">
        <v>1237</v>
      </c>
      <c r="E389" s="29"/>
      <c r="F389" s="29"/>
      <c r="G389" s="29"/>
      <c r="H389" s="32" t="s">
        <v>2433</v>
      </c>
      <c r="I389" s="32"/>
      <c r="J389" s="32"/>
      <c r="K389" s="29"/>
      <c r="L389" s="30">
        <v>9266</v>
      </c>
      <c r="M389" s="32" t="s">
        <v>18</v>
      </c>
      <c r="N389" s="5"/>
    </row>
    <row r="390" spans="1:14">
      <c r="A390" s="30"/>
      <c r="B390" s="30"/>
      <c r="C390" s="30">
        <v>22832</v>
      </c>
      <c r="D390" s="30">
        <v>5415</v>
      </c>
      <c r="E390" s="30"/>
      <c r="F390" s="30"/>
      <c r="G390" s="30"/>
      <c r="H390" s="30">
        <v>1205</v>
      </c>
      <c r="I390" s="30"/>
      <c r="J390" s="30"/>
      <c r="K390" s="30"/>
      <c r="L390" s="30"/>
      <c r="M390" s="30"/>
      <c r="N390" s="5"/>
    </row>
    <row r="391" spans="1:14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5"/>
    </row>
    <row r="392" spans="1:14">
      <c r="A392" s="14" t="s">
        <v>25</v>
      </c>
      <c r="B392" s="15"/>
      <c r="C392" s="12" t="s">
        <v>2434</v>
      </c>
      <c r="D392" s="12" t="s">
        <v>2434</v>
      </c>
      <c r="E392" s="15"/>
      <c r="F392" s="15"/>
      <c r="G392" s="15"/>
      <c r="H392" s="12" t="s">
        <v>2435</v>
      </c>
      <c r="I392" s="12"/>
      <c r="J392" s="12"/>
      <c r="K392" s="15"/>
      <c r="L392" s="13">
        <v>12117</v>
      </c>
      <c r="M392" s="12" t="s">
        <v>2436</v>
      </c>
      <c r="N392" s="5"/>
    </row>
    <row r="393" spans="1:14">
      <c r="A393" s="13"/>
      <c r="B393" s="13"/>
      <c r="C393" s="13">
        <v>22181</v>
      </c>
      <c r="D393" s="13">
        <v>4520</v>
      </c>
      <c r="E393" s="13"/>
      <c r="F393" s="13"/>
      <c r="G393" s="13"/>
      <c r="H393" s="13">
        <v>879</v>
      </c>
      <c r="I393" s="13"/>
      <c r="J393" s="13"/>
      <c r="K393" s="13"/>
      <c r="L393" s="13"/>
      <c r="M393" s="13"/>
      <c r="N393" s="5"/>
    </row>
    <row r="394" spans="1:14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5"/>
    </row>
    <row r="395" spans="1:14">
      <c r="A395" s="33" t="s">
        <v>31</v>
      </c>
      <c r="B395" s="29"/>
      <c r="C395" s="32" t="s">
        <v>2212</v>
      </c>
      <c r="D395" s="32" t="s">
        <v>2212</v>
      </c>
      <c r="E395" s="29"/>
      <c r="F395" s="29"/>
      <c r="G395" s="29"/>
      <c r="H395" s="32"/>
      <c r="I395" s="32"/>
      <c r="J395" s="32"/>
      <c r="K395" s="29"/>
      <c r="L395" s="30">
        <v>9881</v>
      </c>
      <c r="M395" s="32" t="s">
        <v>1416</v>
      </c>
      <c r="N395" s="5"/>
    </row>
    <row r="396" spans="1:14">
      <c r="A396" s="30"/>
      <c r="B396" s="30"/>
      <c r="C396" s="30">
        <v>22775</v>
      </c>
      <c r="D396" s="30">
        <v>3183</v>
      </c>
      <c r="E396" s="30"/>
      <c r="F396" s="30"/>
      <c r="G396" s="30"/>
      <c r="H396" s="30"/>
      <c r="I396" s="30"/>
      <c r="J396" s="30"/>
      <c r="K396" s="30"/>
      <c r="L396" s="30"/>
      <c r="M396" s="30"/>
      <c r="N396" s="5"/>
    </row>
    <row r="397" spans="1:14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5"/>
    </row>
    <row r="398" spans="1:14">
      <c r="A398" s="14" t="s">
        <v>35</v>
      </c>
      <c r="B398" s="15" t="s">
        <v>1408</v>
      </c>
      <c r="C398" s="12" t="s">
        <v>2437</v>
      </c>
      <c r="D398" s="12" t="s">
        <v>2437</v>
      </c>
      <c r="E398" s="15"/>
      <c r="F398" s="15"/>
      <c r="G398" s="15"/>
      <c r="H398" s="15"/>
      <c r="I398" s="15"/>
      <c r="J398" s="15"/>
      <c r="K398" s="15" t="s">
        <v>2438</v>
      </c>
      <c r="L398" s="13">
        <v>2360</v>
      </c>
      <c r="M398" s="12" t="s">
        <v>1411</v>
      </c>
      <c r="N398" s="5"/>
    </row>
    <row r="399" spans="1:14">
      <c r="A399" s="13"/>
      <c r="B399" s="13">
        <v>14850</v>
      </c>
      <c r="C399" s="13">
        <v>9830</v>
      </c>
      <c r="D399" s="13">
        <v>2450</v>
      </c>
      <c r="E399" s="13"/>
      <c r="F399" s="13"/>
      <c r="G399" s="13"/>
      <c r="H399" s="13"/>
      <c r="I399" s="13"/>
      <c r="J399" s="13"/>
      <c r="K399" s="13">
        <v>432</v>
      </c>
      <c r="L399" s="13"/>
      <c r="M399" s="13"/>
      <c r="N399" s="5"/>
    </row>
    <row r="400" spans="1:14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5">
      <c r="A401" s="30" t="s">
        <v>44</v>
      </c>
      <c r="B401" s="29" t="s">
        <v>194</v>
      </c>
      <c r="C401" s="29" t="s">
        <v>1952</v>
      </c>
      <c r="D401" s="29" t="s">
        <v>1952</v>
      </c>
      <c r="E401" s="29"/>
      <c r="F401" s="29"/>
      <c r="G401" s="29"/>
      <c r="H401" s="29" t="s">
        <v>2439</v>
      </c>
      <c r="I401" s="29"/>
      <c r="J401" s="29"/>
      <c r="K401" s="30"/>
      <c r="L401" s="30">
        <v>5421</v>
      </c>
      <c r="M401" s="29" t="s">
        <v>45</v>
      </c>
      <c r="N401" s="13"/>
      <c r="O401" s="4"/>
    </row>
    <row r="402" spans="1:15">
      <c r="A402" s="30"/>
      <c r="B402" s="30">
        <v>29345</v>
      </c>
      <c r="C402" s="30">
        <v>9830</v>
      </c>
      <c r="D402" s="30">
        <v>2005</v>
      </c>
      <c r="E402" s="30"/>
      <c r="F402" s="30"/>
      <c r="G402" s="30"/>
      <c r="H402" s="30">
        <v>838</v>
      </c>
      <c r="I402" s="30"/>
      <c r="J402" s="30"/>
      <c r="K402" s="30"/>
      <c r="L402" s="30"/>
      <c r="M402" s="30"/>
      <c r="N402" s="13"/>
      <c r="O402" s="4"/>
    </row>
    <row r="403" spans="1: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4"/>
    </row>
    <row r="404" spans="1:15">
      <c r="A404" s="13" t="s">
        <v>49</v>
      </c>
      <c r="B404" s="15" t="s">
        <v>195</v>
      </c>
      <c r="C404" s="15"/>
      <c r="D404" s="15" t="s">
        <v>2440</v>
      </c>
      <c r="E404" s="15"/>
      <c r="F404" s="15"/>
      <c r="G404" s="15"/>
      <c r="H404" s="13"/>
      <c r="I404" s="13"/>
      <c r="J404" s="13"/>
      <c r="K404" s="15"/>
      <c r="L404" s="13">
        <v>6604</v>
      </c>
      <c r="M404" s="15" t="s">
        <v>50</v>
      </c>
      <c r="N404" s="13"/>
      <c r="O404" s="4"/>
    </row>
    <row r="405" spans="1:15">
      <c r="A405" s="13"/>
      <c r="B405" s="13">
        <v>15744</v>
      </c>
      <c r="C405" s="13"/>
      <c r="D405" s="13">
        <v>2254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4"/>
    </row>
    <row r="406" spans="1: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4"/>
    </row>
    <row r="407" spans="1:15">
      <c r="A407" s="30" t="s">
        <v>57</v>
      </c>
      <c r="B407" s="29" t="s">
        <v>2217</v>
      </c>
      <c r="C407" s="29" t="s">
        <v>2441</v>
      </c>
      <c r="D407" s="29" t="s">
        <v>2217</v>
      </c>
      <c r="E407" s="29"/>
      <c r="F407" s="29"/>
      <c r="G407" s="29"/>
      <c r="H407" s="29"/>
      <c r="I407" s="29"/>
      <c r="J407" s="29"/>
      <c r="K407" s="30"/>
      <c r="L407" s="30">
        <v>3901</v>
      </c>
      <c r="M407" s="29" t="s">
        <v>2219</v>
      </c>
      <c r="N407" s="13"/>
      <c r="O407" s="4"/>
    </row>
    <row r="408" spans="1:15">
      <c r="A408" s="30"/>
      <c r="B408" s="30">
        <v>23996</v>
      </c>
      <c r="C408" s="30">
        <v>7025</v>
      </c>
      <c r="D408" s="30">
        <v>5693</v>
      </c>
      <c r="E408" s="30"/>
      <c r="F408" s="30"/>
      <c r="G408" s="30"/>
      <c r="H408" s="30"/>
      <c r="I408" s="30"/>
      <c r="J408" s="30"/>
      <c r="K408" s="30"/>
      <c r="L408" s="30"/>
      <c r="M408" s="30"/>
      <c r="N408" s="13"/>
      <c r="O408" s="4"/>
    </row>
    <row r="409" spans="1: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4"/>
    </row>
    <row r="410" spans="1:15">
      <c r="A410" s="13" t="s">
        <v>60</v>
      </c>
      <c r="B410" s="15" t="s">
        <v>1053</v>
      </c>
      <c r="C410" s="15" t="s">
        <v>2442</v>
      </c>
      <c r="D410" s="15" t="s">
        <v>2442</v>
      </c>
      <c r="E410" s="15" t="s">
        <v>1053</v>
      </c>
      <c r="F410" s="15"/>
      <c r="G410" s="15"/>
      <c r="H410" s="15" t="s">
        <v>2443</v>
      </c>
      <c r="I410" s="15"/>
      <c r="J410" s="15"/>
      <c r="K410" s="13"/>
      <c r="L410" s="13">
        <v>3291</v>
      </c>
      <c r="M410" s="15" t="s">
        <v>1414</v>
      </c>
      <c r="N410" s="13"/>
      <c r="O410" s="4"/>
    </row>
    <row r="411" spans="1:15">
      <c r="A411" s="13"/>
      <c r="B411" s="13">
        <v>28998</v>
      </c>
      <c r="C411" s="13">
        <v>13943</v>
      </c>
      <c r="D411" s="13">
        <v>2980</v>
      </c>
      <c r="E411" s="13">
        <v>4069</v>
      </c>
      <c r="F411" s="13"/>
      <c r="G411" s="13"/>
      <c r="H411" s="13">
        <v>781</v>
      </c>
      <c r="I411" s="13"/>
      <c r="J411" s="13"/>
      <c r="K411" s="13"/>
      <c r="L411" s="13"/>
      <c r="M411" s="13"/>
      <c r="N411" s="13"/>
      <c r="O411" s="4"/>
    </row>
    <row r="412" spans="1: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4"/>
    </row>
    <row r="413" spans="1:15">
      <c r="A413" s="30" t="s">
        <v>66</v>
      </c>
      <c r="B413" s="29"/>
      <c r="C413" s="29" t="s">
        <v>419</v>
      </c>
      <c r="D413" s="29" t="s">
        <v>2444</v>
      </c>
      <c r="E413" s="29"/>
      <c r="F413" s="29"/>
      <c r="G413" s="29"/>
      <c r="H413" s="29" t="s">
        <v>2445</v>
      </c>
      <c r="I413" s="29"/>
      <c r="J413" s="29"/>
      <c r="K413" s="30"/>
      <c r="L413" s="30">
        <v>13751</v>
      </c>
      <c r="M413" s="29" t="s">
        <v>2446</v>
      </c>
      <c r="N413" s="13"/>
      <c r="O413" s="4"/>
    </row>
    <row r="414" spans="1:15">
      <c r="A414" s="30"/>
      <c r="B414" s="30"/>
      <c r="C414" s="30">
        <v>26184</v>
      </c>
      <c r="D414" s="30">
        <v>3200</v>
      </c>
      <c r="E414" s="30"/>
      <c r="F414" s="30"/>
      <c r="G414" s="30"/>
      <c r="H414" s="30">
        <v>711</v>
      </c>
      <c r="I414" s="30"/>
      <c r="J414" s="30"/>
      <c r="K414" s="30"/>
      <c r="L414" s="30"/>
      <c r="M414" s="30"/>
      <c r="N414" s="13"/>
      <c r="O414" s="4"/>
    </row>
    <row r="415" spans="1: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4"/>
    </row>
    <row r="416" spans="1:15">
      <c r="A416" s="13" t="s">
        <v>74</v>
      </c>
      <c r="B416" s="15"/>
      <c r="C416" s="15" t="s">
        <v>1752</v>
      </c>
      <c r="D416" s="15" t="s">
        <v>1752</v>
      </c>
      <c r="E416" s="15"/>
      <c r="F416" s="15"/>
      <c r="G416" s="15"/>
      <c r="H416" s="13"/>
      <c r="I416" s="13"/>
      <c r="J416" s="13"/>
      <c r="K416" s="15"/>
      <c r="L416" s="13">
        <v>12878</v>
      </c>
      <c r="M416" s="15" t="s">
        <v>1753</v>
      </c>
      <c r="N416" s="13"/>
      <c r="O416" s="4"/>
    </row>
    <row r="417" spans="1:15">
      <c r="A417" s="13"/>
      <c r="B417" s="13"/>
      <c r="C417" s="13">
        <v>21545</v>
      </c>
      <c r="D417" s="13">
        <v>5537</v>
      </c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4"/>
    </row>
    <row r="418" spans="1: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4"/>
    </row>
    <row r="419" spans="1:15">
      <c r="A419" s="30" t="s">
        <v>81</v>
      </c>
      <c r="B419" s="29" t="s">
        <v>2220</v>
      </c>
      <c r="C419" s="29" t="s">
        <v>2221</v>
      </c>
      <c r="D419" s="29" t="s">
        <v>2221</v>
      </c>
      <c r="E419" s="29" t="s">
        <v>2221</v>
      </c>
      <c r="F419" s="29"/>
      <c r="G419" s="29" t="s">
        <v>2482</v>
      </c>
      <c r="H419" s="29" t="s">
        <v>2221</v>
      </c>
      <c r="I419" s="29"/>
      <c r="J419" s="29"/>
      <c r="K419" s="29"/>
      <c r="L419" s="30">
        <v>3165</v>
      </c>
      <c r="M419" s="29" t="s">
        <v>2222</v>
      </c>
      <c r="N419" s="13"/>
      <c r="O419" s="4"/>
    </row>
    <row r="420" spans="1:15">
      <c r="A420" s="30"/>
      <c r="B420" s="30">
        <v>15049</v>
      </c>
      <c r="C420" s="30">
        <v>13514</v>
      </c>
      <c r="D420" s="30">
        <v>1601</v>
      </c>
      <c r="E420" s="30">
        <v>498</v>
      </c>
      <c r="F420" s="30"/>
      <c r="G420" s="30">
        <v>1267</v>
      </c>
      <c r="H420" s="30">
        <v>1057</v>
      </c>
      <c r="I420" s="30"/>
      <c r="J420" s="30"/>
      <c r="K420" s="30"/>
      <c r="L420" s="30"/>
      <c r="M420" s="30"/>
      <c r="N420" s="13"/>
      <c r="O420" s="4"/>
    </row>
    <row r="421" spans="1: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4"/>
    </row>
    <row r="422" spans="1:15">
      <c r="A422" s="13" t="s">
        <v>86</v>
      </c>
      <c r="B422" s="15" t="s">
        <v>2447</v>
      </c>
      <c r="C422" s="15" t="s">
        <v>2224</v>
      </c>
      <c r="D422" s="15" t="s">
        <v>2224</v>
      </c>
      <c r="E422" s="15" t="s">
        <v>2224</v>
      </c>
      <c r="F422" s="15"/>
      <c r="G422" s="15"/>
      <c r="H422" s="15" t="s">
        <v>2224</v>
      </c>
      <c r="I422" s="15"/>
      <c r="J422" s="15"/>
      <c r="K422" s="13"/>
      <c r="L422" s="13">
        <v>4562</v>
      </c>
      <c r="M422" s="15" t="s">
        <v>2225</v>
      </c>
      <c r="N422" s="13"/>
      <c r="O422" s="4"/>
    </row>
    <row r="423" spans="1:15">
      <c r="A423" s="13"/>
      <c r="B423" s="13">
        <v>8328</v>
      </c>
      <c r="C423" s="13">
        <v>20638</v>
      </c>
      <c r="D423" s="13">
        <v>2867</v>
      </c>
      <c r="E423" s="13">
        <v>932</v>
      </c>
      <c r="F423" s="13"/>
      <c r="G423" s="13"/>
      <c r="H423" s="13">
        <v>1557</v>
      </c>
      <c r="I423" s="13"/>
      <c r="J423" s="13"/>
      <c r="K423" s="13"/>
      <c r="L423" s="13"/>
      <c r="M423" s="13"/>
      <c r="N423" s="13"/>
      <c r="O423" s="4"/>
    </row>
    <row r="424" spans="1: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4"/>
    </row>
    <row r="425" spans="1:15">
      <c r="A425" s="30" t="s">
        <v>1576</v>
      </c>
      <c r="B425" s="29" t="s">
        <v>193</v>
      </c>
      <c r="C425" s="29" t="s">
        <v>2448</v>
      </c>
      <c r="D425" s="29" t="s">
        <v>2448</v>
      </c>
      <c r="E425" s="29" t="s">
        <v>193</v>
      </c>
      <c r="F425" s="29"/>
      <c r="G425" s="29"/>
      <c r="H425" s="30"/>
      <c r="I425" s="30"/>
      <c r="J425" s="30"/>
      <c r="K425" s="29"/>
      <c r="L425" s="30">
        <v>2846</v>
      </c>
      <c r="M425" s="29" t="s">
        <v>196</v>
      </c>
      <c r="N425" s="13"/>
      <c r="O425" s="4"/>
    </row>
    <row r="426" spans="1:15">
      <c r="A426" s="30"/>
      <c r="B426" s="30">
        <v>23423</v>
      </c>
      <c r="C426" s="30">
        <v>13063</v>
      </c>
      <c r="D426" s="30">
        <v>2360</v>
      </c>
      <c r="E426" s="30">
        <v>1880</v>
      </c>
      <c r="F426" s="30"/>
      <c r="G426" s="30"/>
      <c r="H426" s="30"/>
      <c r="I426" s="30"/>
      <c r="J426" s="30"/>
      <c r="K426" s="30"/>
      <c r="L426" s="30"/>
      <c r="M426" s="30"/>
      <c r="N426" s="13"/>
      <c r="O426" s="4"/>
    </row>
    <row r="427" spans="1: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4"/>
    </row>
    <row r="428" spans="1:15">
      <c r="A428" s="13" t="s">
        <v>100</v>
      </c>
      <c r="B428" s="15" t="s">
        <v>2227</v>
      </c>
      <c r="C428" s="15"/>
      <c r="D428" s="15"/>
      <c r="E428" s="13"/>
      <c r="F428" s="13"/>
      <c r="G428" s="15" t="s">
        <v>2227</v>
      </c>
      <c r="H428" s="13"/>
      <c r="I428" s="13"/>
      <c r="J428" s="13"/>
      <c r="K428" s="15"/>
      <c r="L428" s="13">
        <v>4566</v>
      </c>
      <c r="M428" s="15" t="s">
        <v>2228</v>
      </c>
      <c r="N428" s="13"/>
      <c r="O428" s="4"/>
    </row>
    <row r="429" spans="1:15">
      <c r="A429" s="13"/>
      <c r="B429" s="13">
        <v>23574</v>
      </c>
      <c r="C429" s="13"/>
      <c r="D429" s="13"/>
      <c r="E429" s="13"/>
      <c r="F429" s="13"/>
      <c r="G429" s="13">
        <v>662</v>
      </c>
      <c r="H429" s="13"/>
      <c r="I429" s="13"/>
      <c r="J429" s="13"/>
      <c r="K429" s="13"/>
      <c r="L429" s="13"/>
      <c r="M429" s="13"/>
      <c r="N429" s="13"/>
      <c r="O429" s="4"/>
    </row>
    <row r="430" spans="1: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4"/>
    </row>
    <row r="431" spans="1:15">
      <c r="A431" s="30" t="s">
        <v>105</v>
      </c>
      <c r="B431" s="29" t="s">
        <v>2449</v>
      </c>
      <c r="C431" s="29" t="s">
        <v>545</v>
      </c>
      <c r="D431" s="29" t="s">
        <v>545</v>
      </c>
      <c r="E431" s="29" t="s">
        <v>2449</v>
      </c>
      <c r="F431" s="29"/>
      <c r="G431" s="29"/>
      <c r="H431" s="30"/>
      <c r="I431" s="30"/>
      <c r="J431" s="30"/>
      <c r="K431" s="29" t="s">
        <v>2450</v>
      </c>
      <c r="L431" s="30">
        <v>2604</v>
      </c>
      <c r="M431" s="29" t="s">
        <v>1268</v>
      </c>
      <c r="N431" s="13"/>
      <c r="O431" s="4"/>
    </row>
    <row r="432" spans="1:15">
      <c r="A432" s="30"/>
      <c r="B432" s="30">
        <v>18872</v>
      </c>
      <c r="C432" s="30">
        <v>19773</v>
      </c>
      <c r="D432" s="30">
        <v>3255</v>
      </c>
      <c r="E432" s="30">
        <v>1555</v>
      </c>
      <c r="F432" s="30"/>
      <c r="G432" s="30"/>
      <c r="H432" s="30"/>
      <c r="I432" s="30"/>
      <c r="J432" s="30"/>
      <c r="K432" s="30">
        <v>336</v>
      </c>
      <c r="L432" s="30"/>
      <c r="M432" s="30"/>
      <c r="N432" s="13"/>
      <c r="O432" s="4"/>
    </row>
    <row r="433" spans="1: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4"/>
    </row>
    <row r="434" spans="1:15">
      <c r="A434" s="13" t="s">
        <v>115</v>
      </c>
      <c r="B434" s="15" t="s">
        <v>1758</v>
      </c>
      <c r="C434" s="15" t="s">
        <v>2451</v>
      </c>
      <c r="D434" s="15" t="s">
        <v>1758</v>
      </c>
      <c r="E434" s="15" t="s">
        <v>1758</v>
      </c>
      <c r="F434" s="15"/>
      <c r="G434" s="15"/>
      <c r="H434" s="15" t="s">
        <v>2451</v>
      </c>
      <c r="I434" s="15"/>
      <c r="J434" s="15"/>
      <c r="K434" s="13"/>
      <c r="L434" s="13">
        <v>4255</v>
      </c>
      <c r="M434" s="15" t="s">
        <v>1760</v>
      </c>
      <c r="N434" s="13"/>
      <c r="O434" s="4"/>
    </row>
    <row r="435" spans="1:15">
      <c r="A435" s="13"/>
      <c r="B435" s="13">
        <v>21114</v>
      </c>
      <c r="C435" s="13">
        <v>5735</v>
      </c>
      <c r="D435" s="13">
        <v>2738</v>
      </c>
      <c r="E435" s="13">
        <v>1042</v>
      </c>
      <c r="F435" s="13"/>
      <c r="G435" s="13"/>
      <c r="H435" s="13">
        <v>931</v>
      </c>
      <c r="I435" s="13"/>
      <c r="J435" s="13"/>
      <c r="K435" s="13"/>
      <c r="L435" s="13"/>
      <c r="M435" s="13"/>
      <c r="N435" s="13"/>
      <c r="O435" s="4"/>
    </row>
    <row r="436" spans="1: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4"/>
    </row>
    <row r="437" spans="1:15">
      <c r="A437" s="30" t="s">
        <v>123</v>
      </c>
      <c r="B437" s="29" t="s">
        <v>1253</v>
      </c>
      <c r="C437" s="29" t="s">
        <v>2452</v>
      </c>
      <c r="D437" s="29" t="s">
        <v>2452</v>
      </c>
      <c r="E437" s="29" t="s">
        <v>1253</v>
      </c>
      <c r="F437" s="29"/>
      <c r="G437" s="29" t="s">
        <v>1253</v>
      </c>
      <c r="H437" s="30"/>
      <c r="I437" s="30"/>
      <c r="J437" s="30"/>
      <c r="K437" s="29"/>
      <c r="L437" s="30">
        <v>2917</v>
      </c>
      <c r="M437" s="29" t="s">
        <v>1257</v>
      </c>
      <c r="N437" s="13"/>
      <c r="O437" s="4"/>
    </row>
    <row r="438" spans="1:15">
      <c r="A438" s="30"/>
      <c r="B438" s="30">
        <v>18012</v>
      </c>
      <c r="C438" s="30">
        <v>5407</v>
      </c>
      <c r="D438" s="30">
        <v>1287</v>
      </c>
      <c r="E438" s="30">
        <v>1330</v>
      </c>
      <c r="F438" s="30"/>
      <c r="G438" s="30">
        <v>773</v>
      </c>
      <c r="H438" s="30"/>
      <c r="I438" s="30"/>
      <c r="J438" s="30"/>
      <c r="K438" s="30"/>
      <c r="L438" s="30"/>
      <c r="M438" s="30"/>
      <c r="N438" s="13"/>
      <c r="O438" s="4"/>
    </row>
    <row r="439" spans="1: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4"/>
    </row>
    <row r="440" spans="1:15">
      <c r="A440" s="13" t="s">
        <v>129</v>
      </c>
      <c r="B440" s="15" t="s">
        <v>1965</v>
      </c>
      <c r="C440" s="15" t="s">
        <v>2453</v>
      </c>
      <c r="D440" s="15" t="s">
        <v>1965</v>
      </c>
      <c r="E440" s="15" t="s">
        <v>1965</v>
      </c>
      <c r="F440" s="15"/>
      <c r="G440" s="15"/>
      <c r="H440" s="15" t="s">
        <v>628</v>
      </c>
      <c r="I440" s="15"/>
      <c r="J440" s="15"/>
      <c r="K440" s="15" t="s">
        <v>2454</v>
      </c>
      <c r="L440" s="13">
        <v>2084</v>
      </c>
      <c r="M440" s="15" t="s">
        <v>2231</v>
      </c>
      <c r="N440" s="13"/>
      <c r="O440" s="4"/>
    </row>
    <row r="441" spans="1:15">
      <c r="A441" s="13"/>
      <c r="B441" s="13">
        <v>15981</v>
      </c>
      <c r="C441" s="13">
        <v>13289</v>
      </c>
      <c r="D441" s="13">
        <v>2219</v>
      </c>
      <c r="E441" s="13">
        <v>1097</v>
      </c>
      <c r="F441" s="13"/>
      <c r="G441" s="13"/>
      <c r="H441" s="13">
        <v>9670</v>
      </c>
      <c r="I441" s="13"/>
      <c r="J441" s="13"/>
      <c r="K441" s="13">
        <v>284</v>
      </c>
      <c r="L441" s="13"/>
      <c r="M441" s="13"/>
      <c r="N441" s="13"/>
      <c r="O441" s="4"/>
    </row>
    <row r="442" spans="1: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5" t="s">
        <v>2455</v>
      </c>
      <c r="L442" s="13"/>
      <c r="M442" s="13"/>
      <c r="N442" s="13"/>
      <c r="O442" s="4"/>
    </row>
    <row r="443" spans="1: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>
        <v>154</v>
      </c>
      <c r="L443" s="13"/>
      <c r="M443" s="13"/>
      <c r="N443" s="13"/>
      <c r="O443" s="4"/>
    </row>
    <row r="444" spans="1: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4"/>
    </row>
    <row r="445" spans="1:15">
      <c r="A445" s="30" t="s">
        <v>135</v>
      </c>
      <c r="B445" s="29" t="s">
        <v>587</v>
      </c>
      <c r="C445" s="29" t="s">
        <v>2456</v>
      </c>
      <c r="D445" s="29" t="s">
        <v>587</v>
      </c>
      <c r="E445" s="29" t="s">
        <v>587</v>
      </c>
      <c r="F445" s="29"/>
      <c r="G445" s="29"/>
      <c r="H445" s="29" t="s">
        <v>2456</v>
      </c>
      <c r="I445" s="29"/>
      <c r="J445" s="29"/>
      <c r="K445" s="29"/>
      <c r="L445" s="30">
        <v>4425</v>
      </c>
      <c r="M445" s="29" t="s">
        <v>1968</v>
      </c>
      <c r="N445" s="13"/>
      <c r="O445" s="4"/>
    </row>
    <row r="446" spans="1:15">
      <c r="A446" s="30"/>
      <c r="B446" s="30">
        <v>18340</v>
      </c>
      <c r="C446" s="30">
        <v>12210</v>
      </c>
      <c r="D446" s="30">
        <v>3470</v>
      </c>
      <c r="E446" s="30">
        <v>1353</v>
      </c>
      <c r="F446" s="30"/>
      <c r="G446" s="30"/>
      <c r="H446" s="30">
        <v>1788</v>
      </c>
      <c r="I446" s="30"/>
      <c r="J446" s="30"/>
      <c r="K446" s="30"/>
      <c r="L446" s="30"/>
      <c r="M446" s="30"/>
      <c r="N446" s="13"/>
      <c r="O446" s="4"/>
    </row>
    <row r="447" spans="1: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4"/>
    </row>
    <row r="448" spans="1:15">
      <c r="A448" s="13" t="s">
        <v>143</v>
      </c>
      <c r="B448" s="15" t="s">
        <v>2457</v>
      </c>
      <c r="C448" s="15" t="s">
        <v>1265</v>
      </c>
      <c r="D448" s="15" t="s">
        <v>1265</v>
      </c>
      <c r="E448" s="15" t="s">
        <v>2457</v>
      </c>
      <c r="F448" s="15"/>
      <c r="G448" s="15"/>
      <c r="H448" s="15" t="s">
        <v>2457</v>
      </c>
      <c r="I448" s="15"/>
      <c r="J448" s="15"/>
      <c r="K448" s="13"/>
      <c r="L448" s="13">
        <v>4147</v>
      </c>
      <c r="M448" s="15" t="s">
        <v>1266</v>
      </c>
      <c r="N448" s="13"/>
      <c r="O448" s="4"/>
    </row>
    <row r="449" spans="1:15">
      <c r="A449" s="13"/>
      <c r="B449" s="13">
        <v>10635</v>
      </c>
      <c r="C449" s="13">
        <v>17491</v>
      </c>
      <c r="D449" s="13">
        <v>3130</v>
      </c>
      <c r="E449" s="13">
        <v>1433</v>
      </c>
      <c r="F449" s="13"/>
      <c r="G449" s="13"/>
      <c r="H449" s="13">
        <v>1303</v>
      </c>
      <c r="I449" s="13"/>
      <c r="J449" s="13"/>
      <c r="K449" s="13"/>
      <c r="L449" s="13"/>
      <c r="M449" s="13"/>
      <c r="N449" s="13"/>
      <c r="O449" s="4"/>
    </row>
    <row r="450" spans="1: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4"/>
    </row>
    <row r="451" spans="1:15">
      <c r="A451" s="30" t="s">
        <v>149</v>
      </c>
      <c r="B451" s="29" t="s">
        <v>2458</v>
      </c>
      <c r="C451" s="29" t="s">
        <v>1755</v>
      </c>
      <c r="D451" s="29" t="s">
        <v>1755</v>
      </c>
      <c r="E451" s="29" t="s">
        <v>1755</v>
      </c>
      <c r="F451" s="29"/>
      <c r="G451" s="29"/>
      <c r="H451" s="29" t="s">
        <v>1755</v>
      </c>
      <c r="I451" s="29"/>
      <c r="J451" s="29"/>
      <c r="K451" s="29" t="s">
        <v>2459</v>
      </c>
      <c r="L451" s="30">
        <v>4103</v>
      </c>
      <c r="M451" s="29" t="s">
        <v>1757</v>
      </c>
      <c r="N451" s="13"/>
      <c r="O451" s="4"/>
    </row>
    <row r="452" spans="1:15">
      <c r="A452" s="30"/>
      <c r="B452" s="30">
        <v>14871</v>
      </c>
      <c r="C452" s="30">
        <v>21933</v>
      </c>
      <c r="D452" s="30">
        <v>3795</v>
      </c>
      <c r="E452" s="30">
        <v>1378</v>
      </c>
      <c r="F452" s="30"/>
      <c r="G452" s="30"/>
      <c r="H452" s="30">
        <v>2103</v>
      </c>
      <c r="I452" s="30"/>
      <c r="J452" s="30"/>
      <c r="K452" s="30">
        <v>407</v>
      </c>
      <c r="L452" s="30"/>
      <c r="M452" s="30"/>
      <c r="N452" s="13"/>
      <c r="O452" s="4"/>
    </row>
    <row r="453" spans="1: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4"/>
    </row>
    <row r="454" spans="1:15">
      <c r="A454" s="13" t="s">
        <v>155</v>
      </c>
      <c r="B454" s="15" t="s">
        <v>2460</v>
      </c>
      <c r="C454" s="15" t="s">
        <v>1314</v>
      </c>
      <c r="D454" s="15" t="s">
        <v>1314</v>
      </c>
      <c r="E454" s="15" t="s">
        <v>2460</v>
      </c>
      <c r="F454" s="15"/>
      <c r="G454" s="15"/>
      <c r="H454" s="13"/>
      <c r="I454" s="13"/>
      <c r="J454" s="13"/>
      <c r="K454" s="13"/>
      <c r="L454" s="13">
        <v>4050</v>
      </c>
      <c r="M454" s="15" t="s">
        <v>1972</v>
      </c>
      <c r="N454" s="13"/>
      <c r="O454" s="4"/>
    </row>
    <row r="455" spans="1:15">
      <c r="A455" s="13"/>
      <c r="B455" s="13">
        <v>11069</v>
      </c>
      <c r="C455" s="13">
        <v>16759</v>
      </c>
      <c r="D455" s="13">
        <v>2578</v>
      </c>
      <c r="E455" s="13">
        <v>976</v>
      </c>
      <c r="F455" s="13"/>
      <c r="G455" s="13"/>
      <c r="H455" s="13"/>
      <c r="I455" s="13"/>
      <c r="J455" s="13"/>
      <c r="K455" s="13"/>
      <c r="L455" s="13"/>
      <c r="M455" s="13"/>
      <c r="N455" s="13"/>
      <c r="O455" s="4"/>
    </row>
    <row r="456" spans="1: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4"/>
    </row>
    <row r="457" spans="1:15">
      <c r="A457" s="30" t="s">
        <v>162</v>
      </c>
      <c r="B457" s="29" t="s">
        <v>1430</v>
      </c>
      <c r="C457" s="29" t="s">
        <v>2237</v>
      </c>
      <c r="D457" s="29" t="s">
        <v>2237</v>
      </c>
      <c r="E457" s="29" t="s">
        <v>1430</v>
      </c>
      <c r="F457" s="29"/>
      <c r="G457" s="29"/>
      <c r="H457" s="30"/>
      <c r="I457" s="30"/>
      <c r="J457" s="30"/>
      <c r="K457" s="30"/>
      <c r="L457" s="30">
        <v>2971</v>
      </c>
      <c r="M457" s="29" t="s">
        <v>1431</v>
      </c>
      <c r="N457" s="13"/>
      <c r="O457" s="4"/>
    </row>
    <row r="458" spans="1:15">
      <c r="A458" s="30"/>
      <c r="B458" s="30">
        <v>19453</v>
      </c>
      <c r="C458" s="30">
        <v>10667</v>
      </c>
      <c r="D458" s="30">
        <v>1813</v>
      </c>
      <c r="E458" s="30">
        <v>1436</v>
      </c>
      <c r="F458" s="30"/>
      <c r="G458" s="30"/>
      <c r="H458" s="30"/>
      <c r="I458" s="30"/>
      <c r="J458" s="30"/>
      <c r="K458" s="30"/>
      <c r="L458" s="30"/>
      <c r="M458" s="30"/>
      <c r="N458" s="13"/>
      <c r="O458" s="4"/>
    </row>
    <row r="459" spans="1:1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3"/>
      <c r="O459" s="4"/>
    </row>
    <row r="460" spans="1:15">
      <c r="A460" s="19" t="s">
        <v>171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4"/>
    </row>
    <row r="461" spans="1:15">
      <c r="A461" s="19" t="s">
        <v>2461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4"/>
    </row>
    <row r="462" spans="1:15">
      <c r="A462" s="19" t="s">
        <v>2462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4"/>
    </row>
    <row r="463" spans="1:15">
      <c r="A463" s="13" t="s">
        <v>2463</v>
      </c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4"/>
    </row>
    <row r="464" spans="1:15">
      <c r="A464" s="13" t="s">
        <v>2464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4"/>
    </row>
    <row r="465" spans="1:15">
      <c r="A465" s="13" t="s">
        <v>2465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4"/>
    </row>
    <row r="466" spans="1:15">
      <c r="A466" s="13" t="s">
        <v>2466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4"/>
    </row>
    <row r="467" spans="1:15">
      <c r="A467" s="13" t="s">
        <v>2242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4"/>
    </row>
    <row r="468" spans="1:15">
      <c r="A468" s="13" t="s">
        <v>2467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4"/>
    </row>
    <row r="469" spans="1:15">
      <c r="A469" s="13" t="s">
        <v>2468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4"/>
    </row>
    <row r="470" spans="1:15">
      <c r="A470" s="13" t="s">
        <v>2469</v>
      </c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4"/>
    </row>
    <row r="471" spans="1:15">
      <c r="A471" s="13" t="s">
        <v>2470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4"/>
    </row>
    <row r="472" spans="1:15">
      <c r="A472" s="13" t="s">
        <v>2471</v>
      </c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4"/>
    </row>
    <row r="473" spans="1:15">
      <c r="A473" s="13" t="s">
        <v>2472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4"/>
    </row>
    <row r="474" spans="1:15">
      <c r="A474" s="13" t="s">
        <v>2473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4"/>
    </row>
    <row r="475" spans="1:15">
      <c r="A475" s="13" t="s">
        <v>1778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4"/>
    </row>
    <row r="476" spans="1:15">
      <c r="A476" s="13" t="s">
        <v>2245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4"/>
    </row>
    <row r="477" spans="1: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4"/>
    </row>
    <row r="478" spans="1:15">
      <c r="A478" s="56" t="s">
        <v>1597</v>
      </c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4"/>
    </row>
    <row r="479" spans="1: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4"/>
    </row>
    <row r="480" spans="1: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4"/>
    </row>
    <row r="481" spans="1: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</row>
  </sheetData>
  <hyperlinks>
    <hyperlink ref="A478" r:id="rId1"/>
  </hyperlinks>
  <pageMargins left="0.7" right="0.7" top="0.75" bottom="0.75" header="0.3" footer="0.3"/>
  <pageSetup scale="47" fitToHeight="23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4"/>
  <sheetViews>
    <sheetView workbookViewId="0"/>
  </sheetViews>
  <sheetFormatPr defaultColWidth="15.77734375" defaultRowHeight="15.75"/>
  <cols>
    <col min="1" max="1" width="25.77734375" customWidth="1"/>
    <col min="11" max="11" width="26.77734375" customWidth="1"/>
  </cols>
  <sheetData>
    <row r="1" spans="1:13" ht="20.25">
      <c r="A1" s="22" t="s">
        <v>0</v>
      </c>
      <c r="B1" s="8"/>
      <c r="C1" s="8"/>
      <c r="D1" s="8"/>
      <c r="E1" s="8"/>
      <c r="F1" s="8"/>
      <c r="G1" s="5"/>
      <c r="H1" s="5"/>
      <c r="I1" s="5"/>
      <c r="J1" s="5"/>
      <c r="K1" s="5"/>
      <c r="L1" s="5"/>
      <c r="M1" s="5"/>
    </row>
    <row r="2" spans="1:13" ht="20.25">
      <c r="A2" s="22" t="s">
        <v>2827</v>
      </c>
      <c r="B2" s="8"/>
      <c r="C2" s="8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9.25">
      <c r="A4" s="24" t="s">
        <v>1</v>
      </c>
      <c r="B4" s="25" t="s">
        <v>2290</v>
      </c>
      <c r="C4" s="25" t="s">
        <v>186</v>
      </c>
      <c r="D4" s="25" t="s">
        <v>1609</v>
      </c>
      <c r="E4" s="25" t="s">
        <v>215</v>
      </c>
      <c r="F4" s="25" t="s">
        <v>2483</v>
      </c>
      <c r="G4" s="25" t="s">
        <v>1982</v>
      </c>
      <c r="H4" s="25" t="s">
        <v>585</v>
      </c>
      <c r="I4" s="25" t="s">
        <v>580</v>
      </c>
      <c r="J4" s="27" t="s">
        <v>582</v>
      </c>
      <c r="K4" s="25" t="s">
        <v>2</v>
      </c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11" t="s">
        <v>3</v>
      </c>
      <c r="B6" s="12" t="s">
        <v>2484</v>
      </c>
      <c r="C6" s="12" t="s">
        <v>1610</v>
      </c>
      <c r="D6" s="12" t="s">
        <v>1610</v>
      </c>
      <c r="E6" s="12" t="s">
        <v>1610</v>
      </c>
      <c r="F6" s="12"/>
      <c r="G6" s="12" t="s">
        <v>2485</v>
      </c>
      <c r="H6" s="12"/>
      <c r="I6" s="12" t="s">
        <v>2486</v>
      </c>
      <c r="J6" s="13">
        <v>6604</v>
      </c>
      <c r="K6" s="12" t="s">
        <v>1611</v>
      </c>
      <c r="L6" s="5"/>
      <c r="M6" s="5"/>
    </row>
    <row r="7" spans="1:13">
      <c r="A7" s="5"/>
      <c r="B7" s="13">
        <v>14115</v>
      </c>
      <c r="C7" s="13">
        <v>25195</v>
      </c>
      <c r="D7" s="13">
        <v>3546</v>
      </c>
      <c r="E7" s="13">
        <v>2027</v>
      </c>
      <c r="F7" s="13"/>
      <c r="G7" s="13">
        <v>1107</v>
      </c>
      <c r="H7" s="13"/>
      <c r="I7" s="13">
        <v>716</v>
      </c>
      <c r="J7" s="13"/>
      <c r="K7" s="14"/>
      <c r="L7" s="5"/>
      <c r="M7" s="5"/>
    </row>
    <row r="8" spans="1:13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5"/>
      <c r="M8" s="5"/>
    </row>
    <row r="9" spans="1:13">
      <c r="A9" s="28" t="s">
        <v>10</v>
      </c>
      <c r="B9" s="29" t="s">
        <v>2487</v>
      </c>
      <c r="C9" s="29" t="s">
        <v>1085</v>
      </c>
      <c r="D9" s="29" t="s">
        <v>2488</v>
      </c>
      <c r="E9" s="29" t="s">
        <v>1085</v>
      </c>
      <c r="F9" s="29"/>
      <c r="G9" s="29" t="s">
        <v>2489</v>
      </c>
      <c r="H9" s="29"/>
      <c r="I9" s="29"/>
      <c r="J9" s="30">
        <v>7296</v>
      </c>
      <c r="K9" s="29" t="s">
        <v>11</v>
      </c>
      <c r="L9" s="5"/>
      <c r="M9" s="5"/>
    </row>
    <row r="10" spans="1:13">
      <c r="A10" s="31"/>
      <c r="B10" s="30">
        <v>13424</v>
      </c>
      <c r="C10" s="30">
        <v>23931</v>
      </c>
      <c r="D10" s="30">
        <v>1977</v>
      </c>
      <c r="E10" s="30">
        <v>2960</v>
      </c>
      <c r="F10" s="30"/>
      <c r="G10" s="30">
        <v>1149</v>
      </c>
      <c r="H10" s="30"/>
      <c r="I10" s="30"/>
      <c r="J10" s="30"/>
      <c r="K10" s="30"/>
      <c r="L10" s="5"/>
      <c r="M10" s="5"/>
    </row>
    <row r="11" spans="1:13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5"/>
      <c r="M11" s="5"/>
    </row>
    <row r="12" spans="1:13">
      <c r="A12" s="11" t="s">
        <v>16</v>
      </c>
      <c r="B12" s="12" t="s">
        <v>2490</v>
      </c>
      <c r="C12" s="12" t="s">
        <v>2491</v>
      </c>
      <c r="D12" s="12"/>
      <c r="E12" s="12" t="s">
        <v>2491</v>
      </c>
      <c r="F12" s="12"/>
      <c r="G12" s="12" t="s">
        <v>2492</v>
      </c>
      <c r="H12" s="12"/>
      <c r="I12" s="12" t="s">
        <v>2493</v>
      </c>
      <c r="J12" s="13">
        <v>6467</v>
      </c>
      <c r="K12" s="12" t="s">
        <v>2279</v>
      </c>
      <c r="L12" s="5"/>
      <c r="M12" s="5"/>
    </row>
    <row r="13" spans="1:13">
      <c r="A13" s="5"/>
      <c r="B13" s="13">
        <v>13035</v>
      </c>
      <c r="C13" s="13">
        <v>20181</v>
      </c>
      <c r="D13" s="13"/>
      <c r="E13" s="13">
        <v>1937</v>
      </c>
      <c r="F13" s="13"/>
      <c r="G13" s="13">
        <v>1043</v>
      </c>
      <c r="H13" s="13"/>
      <c r="I13" s="13">
        <v>261</v>
      </c>
      <c r="J13" s="13"/>
      <c r="K13" s="14"/>
      <c r="L13" s="5"/>
      <c r="M13" s="5"/>
    </row>
    <row r="14" spans="1:13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5"/>
      <c r="M14" s="5"/>
    </row>
    <row r="15" spans="1:13">
      <c r="A15" s="28" t="s">
        <v>26</v>
      </c>
      <c r="B15" s="32" t="s">
        <v>187</v>
      </c>
      <c r="C15" s="32" t="s">
        <v>2494</v>
      </c>
      <c r="D15" s="32" t="s">
        <v>2494</v>
      </c>
      <c r="E15" s="32" t="s">
        <v>187</v>
      </c>
      <c r="F15" s="32"/>
      <c r="G15" s="32" t="s">
        <v>2495</v>
      </c>
      <c r="H15" s="32"/>
      <c r="I15" s="32" t="s">
        <v>2496</v>
      </c>
      <c r="J15" s="30">
        <v>4596</v>
      </c>
      <c r="K15" s="32" t="s">
        <v>27</v>
      </c>
      <c r="L15" s="5"/>
      <c r="M15" s="5"/>
    </row>
    <row r="16" spans="1:13">
      <c r="A16" s="31"/>
      <c r="B16" s="30">
        <v>23339</v>
      </c>
      <c r="C16" s="30">
        <v>14024</v>
      </c>
      <c r="D16" s="30">
        <v>2039</v>
      </c>
      <c r="E16" s="30">
        <v>1538</v>
      </c>
      <c r="F16" s="30"/>
      <c r="G16" s="30">
        <v>1327</v>
      </c>
      <c r="H16" s="30"/>
      <c r="I16" s="30">
        <v>261</v>
      </c>
      <c r="J16" s="30"/>
      <c r="K16" s="33"/>
      <c r="L16" s="5"/>
      <c r="M16" s="5"/>
    </row>
    <row r="17" spans="1:13">
      <c r="A17" s="31"/>
      <c r="B17" s="30"/>
      <c r="C17" s="30"/>
      <c r="D17" s="30"/>
      <c r="E17" s="30"/>
      <c r="F17" s="30"/>
      <c r="G17" s="30"/>
      <c r="H17" s="30"/>
      <c r="I17" s="32" t="s">
        <v>2497</v>
      </c>
      <c r="J17" s="30"/>
      <c r="K17" s="30"/>
      <c r="L17" s="5"/>
      <c r="M17" s="5"/>
    </row>
    <row r="18" spans="1:13">
      <c r="A18" s="31"/>
      <c r="B18" s="30"/>
      <c r="C18" s="30"/>
      <c r="D18" s="30"/>
      <c r="E18" s="30"/>
      <c r="F18" s="30"/>
      <c r="G18" s="30"/>
      <c r="H18" s="30"/>
      <c r="I18" s="30">
        <v>500</v>
      </c>
      <c r="J18" s="30"/>
      <c r="K18" s="30"/>
      <c r="L18" s="5"/>
      <c r="M18" s="5"/>
    </row>
    <row r="19" spans="1:13">
      <c r="A19" s="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5"/>
      <c r="M19" s="5"/>
    </row>
    <row r="20" spans="1:13">
      <c r="A20" s="11" t="s">
        <v>40</v>
      </c>
      <c r="B20" s="12" t="s">
        <v>2283</v>
      </c>
      <c r="C20" s="12" t="s">
        <v>2498</v>
      </c>
      <c r="D20" s="12" t="s">
        <v>2498</v>
      </c>
      <c r="E20" s="12" t="s">
        <v>2283</v>
      </c>
      <c r="F20" s="12"/>
      <c r="G20" s="12" t="s">
        <v>2499</v>
      </c>
      <c r="H20" s="12"/>
      <c r="I20" s="12" t="s">
        <v>2500</v>
      </c>
      <c r="J20" s="13">
        <v>4542</v>
      </c>
      <c r="K20" s="12" t="s">
        <v>2288</v>
      </c>
      <c r="L20" s="5"/>
      <c r="M20" s="5"/>
    </row>
    <row r="21" spans="1:13">
      <c r="A21" s="5"/>
      <c r="B21" s="13">
        <v>20105</v>
      </c>
      <c r="C21" s="13">
        <v>8667</v>
      </c>
      <c r="D21" s="13">
        <v>1405</v>
      </c>
      <c r="E21" s="13">
        <v>1803</v>
      </c>
      <c r="F21" s="13"/>
      <c r="G21" s="13">
        <v>961</v>
      </c>
      <c r="H21" s="13"/>
      <c r="I21" s="14">
        <v>436</v>
      </c>
      <c r="J21" s="13"/>
      <c r="K21" s="14"/>
      <c r="L21" s="5"/>
      <c r="M21" s="5"/>
    </row>
    <row r="22" spans="1:13">
      <c r="A22" s="5"/>
      <c r="B22" s="13"/>
      <c r="C22" s="13"/>
      <c r="D22" s="13"/>
      <c r="E22" s="13"/>
      <c r="F22" s="13"/>
      <c r="G22" s="13"/>
      <c r="H22" s="13"/>
      <c r="I22" s="15" t="s">
        <v>2501</v>
      </c>
      <c r="J22" s="13"/>
      <c r="K22" s="13"/>
      <c r="L22" s="5"/>
      <c r="M22" s="5"/>
    </row>
    <row r="23" spans="1:13">
      <c r="A23" s="5"/>
      <c r="B23" s="13"/>
      <c r="C23" s="13"/>
      <c r="D23" s="13"/>
      <c r="E23" s="13"/>
      <c r="F23" s="13"/>
      <c r="G23" s="13"/>
      <c r="H23" s="13"/>
      <c r="I23" s="13">
        <v>268</v>
      </c>
      <c r="J23" s="13"/>
      <c r="K23" s="13"/>
      <c r="L23" s="5"/>
      <c r="M23" s="5"/>
    </row>
    <row r="24" spans="1:13">
      <c r="A24" s="5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5"/>
      <c r="M24" s="5"/>
    </row>
    <row r="25" spans="1:13">
      <c r="A25" s="28" t="s">
        <v>52</v>
      </c>
      <c r="B25" s="32" t="s">
        <v>2502</v>
      </c>
      <c r="C25" s="32" t="s">
        <v>2020</v>
      </c>
      <c r="D25" s="32" t="s">
        <v>2020</v>
      </c>
      <c r="E25" s="32" t="s">
        <v>2828</v>
      </c>
      <c r="F25" s="32"/>
      <c r="G25" s="32" t="s">
        <v>2022</v>
      </c>
      <c r="H25" s="32"/>
      <c r="I25" s="29"/>
      <c r="J25" s="30">
        <v>7575</v>
      </c>
      <c r="K25" s="32" t="s">
        <v>2023</v>
      </c>
      <c r="L25" s="5"/>
      <c r="M25" s="5"/>
    </row>
    <row r="26" spans="1:13">
      <c r="A26" s="31"/>
      <c r="B26" s="30">
        <v>15991</v>
      </c>
      <c r="C26" s="30">
        <v>22180</v>
      </c>
      <c r="D26" s="30">
        <v>3486</v>
      </c>
      <c r="E26" s="30">
        <v>1542</v>
      </c>
      <c r="F26" s="30"/>
      <c r="G26" s="30">
        <v>2197</v>
      </c>
      <c r="H26" s="30"/>
      <c r="I26" s="30"/>
      <c r="J26" s="30"/>
      <c r="K26" s="33"/>
      <c r="L26" s="5"/>
      <c r="M26" s="5"/>
    </row>
    <row r="27" spans="1:13">
      <c r="A27" s="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5"/>
      <c r="M27" s="5"/>
    </row>
    <row r="28" spans="1:13">
      <c r="A28" s="11" t="s">
        <v>59</v>
      </c>
      <c r="B28" s="12" t="s">
        <v>2503</v>
      </c>
      <c r="C28" s="12" t="s">
        <v>2025</v>
      </c>
      <c r="D28" s="12" t="s">
        <v>2025</v>
      </c>
      <c r="E28" s="12" t="s">
        <v>2503</v>
      </c>
      <c r="F28" s="12"/>
      <c r="G28" s="12" t="s">
        <v>2026</v>
      </c>
      <c r="H28" s="12"/>
      <c r="I28" s="15" t="s">
        <v>2504</v>
      </c>
      <c r="J28" s="13">
        <v>7799</v>
      </c>
      <c r="K28" s="12" t="s">
        <v>1618</v>
      </c>
      <c r="L28" s="5"/>
      <c r="M28" s="5"/>
    </row>
    <row r="29" spans="1:13">
      <c r="A29" s="5"/>
      <c r="B29" s="13">
        <v>11806</v>
      </c>
      <c r="C29" s="13">
        <v>15912</v>
      </c>
      <c r="D29" s="13">
        <v>2475</v>
      </c>
      <c r="E29" s="13">
        <v>1263</v>
      </c>
      <c r="F29" s="13"/>
      <c r="G29" s="13">
        <v>1473</v>
      </c>
      <c r="H29" s="13"/>
      <c r="I29" s="13">
        <v>536</v>
      </c>
      <c r="J29" s="13"/>
      <c r="K29" s="14"/>
      <c r="L29" s="5"/>
      <c r="M29" s="5"/>
    </row>
    <row r="30" spans="1:13">
      <c r="A30" s="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5"/>
      <c r="M30" s="5"/>
    </row>
    <row r="31" spans="1:13">
      <c r="A31" s="28" t="s">
        <v>64</v>
      </c>
      <c r="B31" s="32" t="s">
        <v>2505</v>
      </c>
      <c r="C31" s="32" t="s">
        <v>2028</v>
      </c>
      <c r="D31" s="32" t="s">
        <v>2028</v>
      </c>
      <c r="E31" s="32" t="s">
        <v>2505</v>
      </c>
      <c r="F31" s="32"/>
      <c r="G31" s="32" t="s">
        <v>2506</v>
      </c>
      <c r="H31" s="32"/>
      <c r="I31" s="29" t="s">
        <v>2507</v>
      </c>
      <c r="J31" s="30">
        <v>7684</v>
      </c>
      <c r="K31" s="32" t="s">
        <v>1620</v>
      </c>
      <c r="L31" s="5"/>
      <c r="M31" s="5"/>
    </row>
    <row r="32" spans="1:13">
      <c r="A32" s="31"/>
      <c r="B32" s="30">
        <v>11780</v>
      </c>
      <c r="C32" s="30">
        <v>19337</v>
      </c>
      <c r="D32" s="30">
        <v>2886</v>
      </c>
      <c r="E32" s="30">
        <v>1027</v>
      </c>
      <c r="F32" s="30"/>
      <c r="G32" s="30">
        <v>2369</v>
      </c>
      <c r="H32" s="30"/>
      <c r="I32" s="30">
        <v>571</v>
      </c>
      <c r="J32" s="30"/>
      <c r="K32" s="33"/>
      <c r="L32" s="5"/>
      <c r="M32" s="5"/>
    </row>
    <row r="33" spans="1:13">
      <c r="A33" s="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5"/>
      <c r="M33" s="5"/>
    </row>
    <row r="34" spans="1:13">
      <c r="A34" s="11" t="s">
        <v>73</v>
      </c>
      <c r="B34" s="12" t="s">
        <v>2508</v>
      </c>
      <c r="C34" s="12" t="s">
        <v>2029</v>
      </c>
      <c r="D34" s="12" t="s">
        <v>2029</v>
      </c>
      <c r="E34" s="12" t="s">
        <v>1810</v>
      </c>
      <c r="F34" s="12"/>
      <c r="G34" s="12" t="s">
        <v>2031</v>
      </c>
      <c r="H34" s="12"/>
      <c r="I34" s="12"/>
      <c r="J34" s="13">
        <v>5985</v>
      </c>
      <c r="K34" s="12" t="s">
        <v>2032</v>
      </c>
      <c r="L34" s="5"/>
      <c r="M34" s="5"/>
    </row>
    <row r="35" spans="1:13">
      <c r="A35" s="5"/>
      <c r="B35" s="13">
        <v>15909</v>
      </c>
      <c r="C35" s="13">
        <v>25326</v>
      </c>
      <c r="D35" s="13">
        <v>3662</v>
      </c>
      <c r="E35" s="13">
        <v>1149</v>
      </c>
      <c r="F35" s="13"/>
      <c r="G35" s="13">
        <v>1863</v>
      </c>
      <c r="H35" s="13"/>
      <c r="I35" s="13"/>
      <c r="J35" s="13"/>
      <c r="K35" s="14"/>
      <c r="L35" s="5"/>
      <c r="M35" s="5"/>
    </row>
    <row r="36" spans="1:13">
      <c r="A36" s="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5"/>
      <c r="M36" s="5"/>
    </row>
    <row r="37" spans="1:13">
      <c r="A37" s="28" t="s">
        <v>80</v>
      </c>
      <c r="B37" s="32" t="s">
        <v>2509</v>
      </c>
      <c r="C37" s="32" t="s">
        <v>1096</v>
      </c>
      <c r="D37" s="32" t="s">
        <v>1096</v>
      </c>
      <c r="E37" s="32" t="s">
        <v>614</v>
      </c>
      <c r="F37" s="32"/>
      <c r="G37" s="32" t="s">
        <v>2510</v>
      </c>
      <c r="H37" s="32"/>
      <c r="I37" s="32"/>
      <c r="J37" s="30">
        <v>6938</v>
      </c>
      <c r="K37" s="32" t="s">
        <v>1098</v>
      </c>
      <c r="L37" s="5"/>
      <c r="M37" s="5"/>
    </row>
    <row r="38" spans="1:13">
      <c r="A38" s="31"/>
      <c r="B38" s="30">
        <v>14141</v>
      </c>
      <c r="C38" s="30">
        <v>19811</v>
      </c>
      <c r="D38" s="30">
        <v>3170</v>
      </c>
      <c r="E38" s="30">
        <v>1105</v>
      </c>
      <c r="F38" s="30"/>
      <c r="G38" s="30">
        <v>1069</v>
      </c>
      <c r="H38" s="30"/>
      <c r="I38" s="30"/>
      <c r="J38" s="30"/>
      <c r="K38" s="33"/>
      <c r="L38" s="5"/>
      <c r="M38" s="5"/>
    </row>
    <row r="39" spans="1:13">
      <c r="A39" s="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5"/>
      <c r="M39" s="5"/>
    </row>
    <row r="40" spans="1:13">
      <c r="A40" s="11" t="s">
        <v>83</v>
      </c>
      <c r="B40" s="12" t="s">
        <v>939</v>
      </c>
      <c r="C40" s="12" t="s">
        <v>2511</v>
      </c>
      <c r="D40" s="12" t="s">
        <v>2511</v>
      </c>
      <c r="E40" s="12" t="s">
        <v>939</v>
      </c>
      <c r="F40" s="12"/>
      <c r="G40" s="12" t="s">
        <v>2512</v>
      </c>
      <c r="H40" s="12"/>
      <c r="I40" s="12" t="s">
        <v>2513</v>
      </c>
      <c r="J40" s="13">
        <v>4134</v>
      </c>
      <c r="K40" s="12" t="s">
        <v>942</v>
      </c>
      <c r="L40" s="5"/>
      <c r="M40" s="5"/>
    </row>
    <row r="41" spans="1:13">
      <c r="A41" s="5"/>
      <c r="B41" s="13">
        <v>20402</v>
      </c>
      <c r="C41" s="13">
        <v>8841</v>
      </c>
      <c r="D41" s="13">
        <v>1530</v>
      </c>
      <c r="E41" s="13">
        <v>1616</v>
      </c>
      <c r="F41" s="13"/>
      <c r="G41" s="13">
        <v>999</v>
      </c>
      <c r="H41" s="13"/>
      <c r="I41" s="13">
        <v>464</v>
      </c>
      <c r="J41" s="13"/>
      <c r="K41" s="14"/>
      <c r="L41" s="5"/>
      <c r="M41" s="5"/>
    </row>
    <row r="42" spans="1:13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5"/>
      <c r="M42" s="5"/>
    </row>
    <row r="43" spans="1:13">
      <c r="A43" s="28" t="s">
        <v>91</v>
      </c>
      <c r="B43" s="32" t="s">
        <v>2514</v>
      </c>
      <c r="C43" s="32" t="s">
        <v>1820</v>
      </c>
      <c r="D43" s="32" t="s">
        <v>1820</v>
      </c>
      <c r="E43" s="32"/>
      <c r="F43" s="32" t="s">
        <v>2300</v>
      </c>
      <c r="G43" s="32"/>
      <c r="H43" s="32"/>
      <c r="I43" s="32" t="s">
        <v>2515</v>
      </c>
      <c r="J43" s="30">
        <v>7774</v>
      </c>
      <c r="K43" s="32" t="s">
        <v>1823</v>
      </c>
      <c r="L43" s="5"/>
      <c r="M43" s="5"/>
    </row>
    <row r="44" spans="1:13">
      <c r="A44" s="31"/>
      <c r="B44" s="30">
        <v>15593</v>
      </c>
      <c r="C44" s="30">
        <v>23160</v>
      </c>
      <c r="D44" s="30">
        <v>3797</v>
      </c>
      <c r="E44" s="30"/>
      <c r="F44" s="30">
        <v>357</v>
      </c>
      <c r="G44" s="30"/>
      <c r="H44" s="30"/>
      <c r="I44" s="30">
        <v>292</v>
      </c>
      <c r="J44" s="30"/>
      <c r="K44" s="33"/>
      <c r="L44" s="5"/>
      <c r="M44" s="5"/>
    </row>
    <row r="45" spans="1:13">
      <c r="A45" s="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5"/>
      <c r="M45" s="5"/>
    </row>
    <row r="46" spans="1:13">
      <c r="A46" s="11" t="s">
        <v>94</v>
      </c>
      <c r="B46" s="12" t="s">
        <v>1824</v>
      </c>
      <c r="C46" s="12" t="s">
        <v>2516</v>
      </c>
      <c r="D46" s="12" t="s">
        <v>2516</v>
      </c>
      <c r="E46" s="12" t="s">
        <v>1625</v>
      </c>
      <c r="F46" s="12" t="s">
        <v>2517</v>
      </c>
      <c r="G46" s="12"/>
      <c r="H46" s="12"/>
      <c r="I46" s="12" t="s">
        <v>2518</v>
      </c>
      <c r="J46" s="13">
        <v>7360</v>
      </c>
      <c r="K46" s="12" t="s">
        <v>1826</v>
      </c>
      <c r="L46" s="5"/>
      <c r="M46" s="5"/>
    </row>
    <row r="47" spans="1:13">
      <c r="A47" s="5"/>
      <c r="B47" s="13">
        <v>27424</v>
      </c>
      <c r="C47" s="13">
        <v>14459</v>
      </c>
      <c r="D47" s="13">
        <v>1627</v>
      </c>
      <c r="E47" s="13">
        <v>697</v>
      </c>
      <c r="F47" s="13">
        <v>411</v>
      </c>
      <c r="G47" s="13"/>
      <c r="H47" s="13"/>
      <c r="I47" s="13">
        <v>122</v>
      </c>
      <c r="J47" s="13"/>
      <c r="K47" s="14"/>
      <c r="L47" s="5"/>
      <c r="M47" s="5"/>
    </row>
    <row r="48" spans="1:13">
      <c r="A48" s="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5"/>
      <c r="M48" s="5"/>
    </row>
    <row r="49" spans="1:13" ht="17.25">
      <c r="A49" s="5" t="s">
        <v>2829</v>
      </c>
      <c r="B49" s="15" t="s">
        <v>2094</v>
      </c>
      <c r="C49" s="15" t="s">
        <v>2519</v>
      </c>
      <c r="D49" s="15" t="s">
        <v>2520</v>
      </c>
      <c r="E49" s="15" t="s">
        <v>2520</v>
      </c>
      <c r="F49" s="15"/>
      <c r="G49" s="15" t="s">
        <v>2521</v>
      </c>
      <c r="H49" s="15"/>
      <c r="I49" s="15"/>
      <c r="J49" s="13">
        <v>19449</v>
      </c>
      <c r="K49" s="15" t="s">
        <v>2522</v>
      </c>
      <c r="L49" s="5"/>
      <c r="M49" s="5"/>
    </row>
    <row r="50" spans="1:13">
      <c r="A50" s="5"/>
      <c r="B50" s="13">
        <v>50373</v>
      </c>
      <c r="C50" s="13">
        <v>68861</v>
      </c>
      <c r="D50" s="13">
        <v>5924</v>
      </c>
      <c r="E50" s="13">
        <v>3381</v>
      </c>
      <c r="F50" s="13"/>
      <c r="G50" s="13">
        <v>3381</v>
      </c>
      <c r="H50" s="13"/>
      <c r="I50" s="13"/>
      <c r="J50" s="13"/>
      <c r="K50" s="13"/>
      <c r="L50" s="5"/>
      <c r="M50" s="5"/>
    </row>
    <row r="51" spans="1:13">
      <c r="A51" s="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5"/>
      <c r="M51" s="5"/>
    </row>
    <row r="52" spans="1:13">
      <c r="A52" s="28" t="s">
        <v>104</v>
      </c>
      <c r="B52" s="32" t="s">
        <v>2523</v>
      </c>
      <c r="C52" s="32" t="s">
        <v>2036</v>
      </c>
      <c r="D52" s="32" t="s">
        <v>2037</v>
      </c>
      <c r="E52" s="32"/>
      <c r="F52" s="32" t="s">
        <v>2524</v>
      </c>
      <c r="G52" s="32" t="s">
        <v>2525</v>
      </c>
      <c r="H52" s="32"/>
      <c r="I52" s="32" t="s">
        <v>2526</v>
      </c>
      <c r="J52" s="30">
        <v>7465</v>
      </c>
      <c r="K52" s="32" t="s">
        <v>2304</v>
      </c>
      <c r="L52" s="5"/>
      <c r="M52" s="5"/>
    </row>
    <row r="53" spans="1:13">
      <c r="A53" s="31"/>
      <c r="B53" s="30">
        <v>14870</v>
      </c>
      <c r="C53" s="30">
        <v>23970</v>
      </c>
      <c r="D53" s="30">
        <v>3675</v>
      </c>
      <c r="E53" s="30"/>
      <c r="F53" s="30">
        <v>433</v>
      </c>
      <c r="G53" s="30">
        <v>1138</v>
      </c>
      <c r="H53" s="30"/>
      <c r="I53" s="30">
        <v>304</v>
      </c>
      <c r="J53" s="30"/>
      <c r="K53" s="33"/>
      <c r="L53" s="5"/>
      <c r="M53" s="5"/>
    </row>
    <row r="54" spans="1:13">
      <c r="A54" s="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5"/>
      <c r="M54" s="5"/>
    </row>
    <row r="55" spans="1:13">
      <c r="A55" s="11" t="s">
        <v>110</v>
      </c>
      <c r="B55" s="12" t="s">
        <v>2527</v>
      </c>
      <c r="C55" s="12" t="s">
        <v>1627</v>
      </c>
      <c r="D55" s="12" t="s">
        <v>1627</v>
      </c>
      <c r="E55" s="12"/>
      <c r="F55" s="12" t="s">
        <v>2528</v>
      </c>
      <c r="G55" s="12" t="s">
        <v>2529</v>
      </c>
      <c r="H55" s="12"/>
      <c r="I55" s="12" t="s">
        <v>2530</v>
      </c>
      <c r="J55" s="13">
        <v>6761</v>
      </c>
      <c r="K55" s="12" t="s">
        <v>2041</v>
      </c>
      <c r="L55" s="5"/>
      <c r="M55" s="5"/>
    </row>
    <row r="56" spans="1:13">
      <c r="A56" s="5"/>
      <c r="B56" s="13">
        <v>14117</v>
      </c>
      <c r="C56" s="13">
        <v>25692</v>
      </c>
      <c r="D56" s="13">
        <v>3054</v>
      </c>
      <c r="E56" s="13"/>
      <c r="F56" s="13">
        <v>385</v>
      </c>
      <c r="G56" s="13">
        <v>746</v>
      </c>
      <c r="H56" s="13"/>
      <c r="I56" s="13">
        <v>399</v>
      </c>
      <c r="J56" s="13"/>
      <c r="K56" s="14"/>
      <c r="L56" s="5"/>
      <c r="M56" s="5"/>
    </row>
    <row r="57" spans="1:13">
      <c r="A57" s="5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5"/>
      <c r="M57" s="5"/>
    </row>
    <row r="58" spans="1:13">
      <c r="A58" s="28" t="s">
        <v>114</v>
      </c>
      <c r="B58" s="32" t="s">
        <v>1464</v>
      </c>
      <c r="C58" s="32" t="s">
        <v>2531</v>
      </c>
      <c r="D58" s="32" t="s">
        <v>2531</v>
      </c>
      <c r="E58" s="32" t="s">
        <v>1631</v>
      </c>
      <c r="F58" s="32" t="s">
        <v>1631</v>
      </c>
      <c r="G58" s="32"/>
      <c r="H58" s="32"/>
      <c r="I58" s="32" t="s">
        <v>2532</v>
      </c>
      <c r="J58" s="30">
        <v>5969</v>
      </c>
      <c r="K58" s="32" t="s">
        <v>1467</v>
      </c>
      <c r="L58" s="5"/>
      <c r="M58" s="5"/>
    </row>
    <row r="59" spans="1:13">
      <c r="A59" s="31"/>
      <c r="B59" s="30">
        <v>29442</v>
      </c>
      <c r="C59" s="30">
        <v>14530</v>
      </c>
      <c r="D59" s="30">
        <v>1635</v>
      </c>
      <c r="E59" s="30">
        <v>773</v>
      </c>
      <c r="F59" s="30">
        <v>848</v>
      </c>
      <c r="G59" s="30"/>
      <c r="H59" s="30"/>
      <c r="I59" s="30">
        <v>132</v>
      </c>
      <c r="J59" s="30"/>
      <c r="K59" s="33"/>
      <c r="L59" s="5"/>
      <c r="M59" s="5"/>
    </row>
    <row r="60" spans="1:13">
      <c r="A60" s="31"/>
      <c r="B60" s="30"/>
      <c r="C60" s="30"/>
      <c r="D60" s="30"/>
      <c r="E60" s="30"/>
      <c r="F60" s="30"/>
      <c r="G60" s="30"/>
      <c r="H60" s="30"/>
      <c r="I60" s="29" t="s">
        <v>2533</v>
      </c>
      <c r="J60" s="30"/>
      <c r="K60" s="30"/>
      <c r="L60" s="5"/>
      <c r="M60" s="5"/>
    </row>
    <row r="61" spans="1:13">
      <c r="A61" s="31"/>
      <c r="B61" s="30"/>
      <c r="C61" s="30"/>
      <c r="D61" s="30"/>
      <c r="E61" s="30"/>
      <c r="F61" s="30"/>
      <c r="G61" s="30"/>
      <c r="H61" s="30"/>
      <c r="I61" s="30">
        <v>411</v>
      </c>
      <c r="J61" s="30"/>
      <c r="K61" s="30"/>
      <c r="L61" s="5"/>
      <c r="M61" s="5"/>
    </row>
    <row r="62" spans="1:13">
      <c r="A62" s="5"/>
      <c r="B62" s="13"/>
      <c r="C62" s="13"/>
      <c r="D62" s="13"/>
      <c r="E62" s="13"/>
      <c r="F62" s="13"/>
      <c r="G62" s="13"/>
      <c r="H62" s="13"/>
      <c r="I62" s="14"/>
      <c r="J62" s="13"/>
      <c r="K62" s="13"/>
      <c r="L62" s="5"/>
      <c r="M62" s="5"/>
    </row>
    <row r="63" spans="1:13">
      <c r="A63" s="11" t="s">
        <v>128</v>
      </c>
      <c r="B63" s="12" t="s">
        <v>2534</v>
      </c>
      <c r="C63" s="12" t="s">
        <v>2535</v>
      </c>
      <c r="D63" s="12" t="s">
        <v>2535</v>
      </c>
      <c r="E63" s="12"/>
      <c r="F63" s="12" t="s">
        <v>2536</v>
      </c>
      <c r="G63" s="12" t="s">
        <v>2537</v>
      </c>
      <c r="H63" s="12"/>
      <c r="I63" s="12" t="s">
        <v>2538</v>
      </c>
      <c r="J63" s="13">
        <v>6854</v>
      </c>
      <c r="K63" s="12" t="s">
        <v>2539</v>
      </c>
      <c r="L63" s="5"/>
      <c r="M63" s="5"/>
    </row>
    <row r="64" spans="1:13">
      <c r="A64" s="5"/>
      <c r="B64" s="13">
        <v>13533</v>
      </c>
      <c r="C64" s="13">
        <v>26710</v>
      </c>
      <c r="D64" s="13">
        <v>3719</v>
      </c>
      <c r="E64" s="13"/>
      <c r="F64" s="13">
        <v>240</v>
      </c>
      <c r="G64" s="13">
        <v>1018</v>
      </c>
      <c r="H64" s="13"/>
      <c r="I64" s="13">
        <v>339</v>
      </c>
      <c r="J64" s="13"/>
      <c r="K64" s="14"/>
      <c r="L64" s="5"/>
      <c r="M64" s="5"/>
    </row>
    <row r="65" spans="1:13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5"/>
      <c r="M65" s="5"/>
    </row>
    <row r="66" spans="1:13">
      <c r="A66" s="28" t="s">
        <v>133</v>
      </c>
      <c r="B66" s="32" t="s">
        <v>2540</v>
      </c>
      <c r="C66" s="32" t="s">
        <v>2541</v>
      </c>
      <c r="D66" s="32" t="s">
        <v>2541</v>
      </c>
      <c r="E66" s="32" t="s">
        <v>2312</v>
      </c>
      <c r="F66" s="32" t="s">
        <v>2542</v>
      </c>
      <c r="G66" s="32" t="s">
        <v>2543</v>
      </c>
      <c r="H66" s="32"/>
      <c r="I66" s="32" t="s">
        <v>2544</v>
      </c>
      <c r="J66" s="30">
        <v>5178</v>
      </c>
      <c r="K66" s="32" t="s">
        <v>2315</v>
      </c>
      <c r="L66" s="5"/>
      <c r="M66" s="5"/>
    </row>
    <row r="67" spans="1:13">
      <c r="A67" s="31"/>
      <c r="B67" s="30">
        <v>21967</v>
      </c>
      <c r="C67" s="30">
        <v>5563</v>
      </c>
      <c r="D67" s="30">
        <v>657</v>
      </c>
      <c r="E67" s="30">
        <v>443</v>
      </c>
      <c r="F67" s="30">
        <v>321</v>
      </c>
      <c r="G67" s="30">
        <v>373</v>
      </c>
      <c r="H67" s="30"/>
      <c r="I67" s="30">
        <v>119</v>
      </c>
      <c r="J67" s="30"/>
      <c r="K67" s="33"/>
      <c r="L67" s="5"/>
      <c r="M67" s="5"/>
    </row>
    <row r="68" spans="1:13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5"/>
      <c r="M68" s="5"/>
    </row>
    <row r="69" spans="1:13">
      <c r="A69" s="11" t="s">
        <v>138</v>
      </c>
      <c r="B69" s="12" t="s">
        <v>2545</v>
      </c>
      <c r="C69" s="12" t="s">
        <v>2546</v>
      </c>
      <c r="D69" s="12" t="s">
        <v>2546</v>
      </c>
      <c r="E69" s="12"/>
      <c r="F69" s="12" t="s">
        <v>2547</v>
      </c>
      <c r="G69" s="12" t="s">
        <v>2548</v>
      </c>
      <c r="H69" s="12"/>
      <c r="I69" s="12" t="s">
        <v>2549</v>
      </c>
      <c r="J69" s="13">
        <v>6086</v>
      </c>
      <c r="K69" s="12" t="s">
        <v>2550</v>
      </c>
      <c r="L69" s="5"/>
      <c r="M69" s="5"/>
    </row>
    <row r="70" spans="1:13">
      <c r="A70" s="5"/>
      <c r="B70" s="13">
        <v>14900</v>
      </c>
      <c r="C70" s="13">
        <v>26254</v>
      </c>
      <c r="D70" s="13">
        <v>3283</v>
      </c>
      <c r="E70" s="13"/>
      <c r="F70" s="13">
        <v>427</v>
      </c>
      <c r="G70" s="13">
        <v>773</v>
      </c>
      <c r="H70" s="13"/>
      <c r="I70" s="13">
        <v>494</v>
      </c>
      <c r="J70" s="13"/>
      <c r="K70" s="14"/>
      <c r="L70" s="5"/>
      <c r="M70" s="5"/>
    </row>
    <row r="71" spans="1:13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5"/>
      <c r="M71" s="5"/>
    </row>
    <row r="72" spans="1:13">
      <c r="A72" s="28" t="s">
        <v>141</v>
      </c>
      <c r="B72" s="32" t="s">
        <v>947</v>
      </c>
      <c r="C72" s="32" t="s">
        <v>2551</v>
      </c>
      <c r="D72" s="32" t="s">
        <v>2551</v>
      </c>
      <c r="E72" s="32" t="s">
        <v>1637</v>
      </c>
      <c r="F72" s="32" t="s">
        <v>1637</v>
      </c>
      <c r="G72" s="32"/>
      <c r="H72" s="32"/>
      <c r="I72" s="32" t="s">
        <v>2552</v>
      </c>
      <c r="J72" s="30">
        <v>6495</v>
      </c>
      <c r="K72" s="32" t="s">
        <v>951</v>
      </c>
      <c r="L72" s="5"/>
      <c r="M72" s="5"/>
    </row>
    <row r="73" spans="1:13">
      <c r="A73" s="31"/>
      <c r="B73" s="30">
        <v>29358</v>
      </c>
      <c r="C73" s="30">
        <v>12563</v>
      </c>
      <c r="D73" s="30">
        <v>1212</v>
      </c>
      <c r="E73" s="30">
        <v>871</v>
      </c>
      <c r="F73" s="30">
        <v>597</v>
      </c>
      <c r="G73" s="30"/>
      <c r="H73" s="30"/>
      <c r="I73" s="30">
        <v>125</v>
      </c>
      <c r="J73" s="30"/>
      <c r="K73" s="33"/>
      <c r="L73" s="5"/>
      <c r="M73" s="5"/>
    </row>
    <row r="74" spans="1:13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5"/>
      <c r="M74" s="5"/>
    </row>
    <row r="75" spans="1:13">
      <c r="A75" s="11" t="s">
        <v>147</v>
      </c>
      <c r="B75" s="12" t="s">
        <v>2553</v>
      </c>
      <c r="C75" s="12" t="s">
        <v>2554</v>
      </c>
      <c r="D75" s="12" t="s">
        <v>2554</v>
      </c>
      <c r="E75" s="12"/>
      <c r="F75" s="12" t="s">
        <v>2555</v>
      </c>
      <c r="G75" s="12" t="s">
        <v>2321</v>
      </c>
      <c r="H75" s="12"/>
      <c r="I75" s="12" t="s">
        <v>2556</v>
      </c>
      <c r="J75" s="13">
        <v>7432</v>
      </c>
      <c r="K75" s="12" t="s">
        <v>2557</v>
      </c>
      <c r="L75" s="5"/>
      <c r="M75" s="5"/>
    </row>
    <row r="76" spans="1:13">
      <c r="A76" s="5"/>
      <c r="B76" s="13">
        <v>14606</v>
      </c>
      <c r="C76" s="13">
        <v>25722</v>
      </c>
      <c r="D76" s="13">
        <v>3411</v>
      </c>
      <c r="E76" s="13"/>
      <c r="F76" s="13">
        <v>336</v>
      </c>
      <c r="G76" s="13">
        <v>1043</v>
      </c>
      <c r="H76" s="13"/>
      <c r="I76" s="13">
        <v>353</v>
      </c>
      <c r="J76" s="13"/>
      <c r="K76" s="14"/>
      <c r="L76" s="5"/>
      <c r="M76" s="5"/>
    </row>
    <row r="77" spans="1:13">
      <c r="A77" s="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5"/>
      <c r="M77" s="5"/>
    </row>
    <row r="78" spans="1:13">
      <c r="A78" s="34" t="s">
        <v>152</v>
      </c>
      <c r="B78" s="32" t="s">
        <v>2051</v>
      </c>
      <c r="C78" s="32" t="s">
        <v>2052</v>
      </c>
      <c r="D78" s="32" t="s">
        <v>2052</v>
      </c>
      <c r="E78" s="32"/>
      <c r="F78" s="32" t="s">
        <v>2558</v>
      </c>
      <c r="G78" s="32" t="s">
        <v>2323</v>
      </c>
      <c r="H78" s="32"/>
      <c r="I78" s="32" t="s">
        <v>2559</v>
      </c>
      <c r="J78" s="30">
        <v>7170</v>
      </c>
      <c r="K78" s="32" t="s">
        <v>1313</v>
      </c>
      <c r="L78" s="5"/>
      <c r="M78" s="5"/>
    </row>
    <row r="79" spans="1:13">
      <c r="A79" s="31"/>
      <c r="B79" s="30">
        <v>14929</v>
      </c>
      <c r="C79" s="30">
        <v>21221</v>
      </c>
      <c r="D79" s="30">
        <v>2772</v>
      </c>
      <c r="E79" s="30"/>
      <c r="F79" s="30">
        <v>316</v>
      </c>
      <c r="G79" s="30">
        <v>1259</v>
      </c>
      <c r="H79" s="30"/>
      <c r="I79" s="30">
        <v>226</v>
      </c>
      <c r="J79" s="30"/>
      <c r="K79" s="33"/>
      <c r="L79" s="5"/>
      <c r="M79" s="5"/>
    </row>
    <row r="80" spans="1:13">
      <c r="A80" s="5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5"/>
      <c r="M80" s="5"/>
    </row>
    <row r="81" spans="1:13">
      <c r="A81" s="11" t="s">
        <v>156</v>
      </c>
      <c r="B81" s="12" t="s">
        <v>1110</v>
      </c>
      <c r="C81" s="12" t="s">
        <v>2560</v>
      </c>
      <c r="D81" s="12" t="s">
        <v>2560</v>
      </c>
      <c r="E81" s="12"/>
      <c r="F81" s="12" t="s">
        <v>2324</v>
      </c>
      <c r="G81" s="12"/>
      <c r="H81" s="12"/>
      <c r="I81" s="12" t="s">
        <v>2561</v>
      </c>
      <c r="J81" s="13">
        <v>3855</v>
      </c>
      <c r="K81" s="12" t="s">
        <v>1113</v>
      </c>
      <c r="L81" s="5"/>
      <c r="M81" s="5"/>
    </row>
    <row r="82" spans="1:13">
      <c r="A82" s="5"/>
      <c r="B82" s="13">
        <v>19121</v>
      </c>
      <c r="C82" s="13">
        <v>10655</v>
      </c>
      <c r="D82" s="13">
        <v>2108</v>
      </c>
      <c r="E82" s="13"/>
      <c r="F82" s="13">
        <v>810</v>
      </c>
      <c r="G82" s="13"/>
      <c r="H82" s="13"/>
      <c r="I82" s="13">
        <v>896</v>
      </c>
      <c r="J82" s="13"/>
      <c r="K82" s="14"/>
      <c r="L82" s="5"/>
      <c r="M82" s="5"/>
    </row>
    <row r="83" spans="1:13">
      <c r="A83" s="5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5"/>
      <c r="M83" s="5"/>
    </row>
    <row r="84" spans="1:13">
      <c r="A84" s="34" t="s">
        <v>163</v>
      </c>
      <c r="B84" s="32" t="s">
        <v>164</v>
      </c>
      <c r="C84" s="32" t="s">
        <v>2562</v>
      </c>
      <c r="D84" s="32" t="s">
        <v>2562</v>
      </c>
      <c r="E84" s="32" t="s">
        <v>2326</v>
      </c>
      <c r="F84" s="32" t="s">
        <v>2326</v>
      </c>
      <c r="G84" s="32"/>
      <c r="H84" s="32"/>
      <c r="I84" s="32" t="s">
        <v>2563</v>
      </c>
      <c r="J84" s="30">
        <v>7252</v>
      </c>
      <c r="K84" s="32" t="s">
        <v>1476</v>
      </c>
      <c r="L84" s="5"/>
      <c r="M84" s="5"/>
    </row>
    <row r="85" spans="1:13">
      <c r="A85" s="31"/>
      <c r="B85" s="30">
        <v>25927</v>
      </c>
      <c r="C85" s="30">
        <v>7904</v>
      </c>
      <c r="D85" s="30">
        <v>1201</v>
      </c>
      <c r="E85" s="30">
        <v>1090</v>
      </c>
      <c r="F85" s="30">
        <v>988</v>
      </c>
      <c r="G85" s="30"/>
      <c r="H85" s="30"/>
      <c r="I85" s="30">
        <v>221</v>
      </c>
      <c r="J85" s="30"/>
      <c r="K85" s="33"/>
      <c r="L85" s="5"/>
      <c r="M85" s="5"/>
    </row>
    <row r="86" spans="1:13">
      <c r="A86" s="5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5"/>
      <c r="M86" s="5"/>
    </row>
    <row r="87" spans="1:13">
      <c r="A87" s="11" t="s">
        <v>168</v>
      </c>
      <c r="B87" s="12" t="s">
        <v>1642</v>
      </c>
      <c r="C87" s="12" t="s">
        <v>2564</v>
      </c>
      <c r="D87" s="12" t="s">
        <v>2564</v>
      </c>
      <c r="E87" s="12" t="s">
        <v>2327</v>
      </c>
      <c r="F87" s="12" t="s">
        <v>2327</v>
      </c>
      <c r="G87" s="12"/>
      <c r="H87" s="12"/>
      <c r="I87" s="12"/>
      <c r="J87" s="13">
        <v>3715</v>
      </c>
      <c r="K87" s="12" t="s">
        <v>1643</v>
      </c>
      <c r="L87" s="5"/>
      <c r="M87" s="5"/>
    </row>
    <row r="88" spans="1:13">
      <c r="A88" s="5"/>
      <c r="B88" s="13">
        <v>14883</v>
      </c>
      <c r="C88" s="13">
        <v>4868</v>
      </c>
      <c r="D88" s="13">
        <v>937</v>
      </c>
      <c r="E88" s="13">
        <v>823</v>
      </c>
      <c r="F88" s="13">
        <v>567</v>
      </c>
      <c r="G88" s="13"/>
      <c r="H88" s="13"/>
      <c r="I88" s="13"/>
      <c r="J88" s="13"/>
      <c r="K88" s="14"/>
      <c r="L88" s="5"/>
      <c r="M88" s="5"/>
    </row>
    <row r="89" spans="1:13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5"/>
      <c r="M89" s="5"/>
    </row>
    <row r="90" spans="1:13">
      <c r="A90" s="28" t="s">
        <v>174</v>
      </c>
      <c r="B90" s="32" t="s">
        <v>1316</v>
      </c>
      <c r="C90" s="32" t="s">
        <v>2329</v>
      </c>
      <c r="D90" s="32" t="s">
        <v>2329</v>
      </c>
      <c r="E90" s="32" t="s">
        <v>1316</v>
      </c>
      <c r="F90" s="32"/>
      <c r="G90" s="32"/>
      <c r="H90" s="32"/>
      <c r="I90" s="32"/>
      <c r="J90" s="30">
        <v>5844</v>
      </c>
      <c r="K90" s="32" t="s">
        <v>1318</v>
      </c>
      <c r="L90" s="5"/>
      <c r="M90" s="5"/>
    </row>
    <row r="91" spans="1:13">
      <c r="A91" s="31"/>
      <c r="B91" s="30">
        <v>19239</v>
      </c>
      <c r="C91" s="30">
        <v>15386</v>
      </c>
      <c r="D91" s="30">
        <v>2551</v>
      </c>
      <c r="E91" s="30">
        <v>1373</v>
      </c>
      <c r="F91" s="30"/>
      <c r="G91" s="30"/>
      <c r="H91" s="30"/>
      <c r="I91" s="30"/>
      <c r="J91" s="30"/>
      <c r="K91" s="33"/>
      <c r="L91" s="5"/>
      <c r="M91" s="5"/>
    </row>
    <row r="92" spans="1:13">
      <c r="A92" s="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5"/>
      <c r="M92" s="5"/>
    </row>
    <row r="93" spans="1:13">
      <c r="A93" s="8" t="s">
        <v>176</v>
      </c>
      <c r="B93" s="12" t="s">
        <v>1119</v>
      </c>
      <c r="C93" s="12" t="s">
        <v>2565</v>
      </c>
      <c r="D93" s="12" t="s">
        <v>2565</v>
      </c>
      <c r="E93" s="12" t="s">
        <v>2330</v>
      </c>
      <c r="F93" s="12" t="s">
        <v>2330</v>
      </c>
      <c r="G93" s="12"/>
      <c r="H93" s="12"/>
      <c r="I93" s="12" t="s">
        <v>2566</v>
      </c>
      <c r="J93" s="13">
        <v>7685</v>
      </c>
      <c r="K93" s="12" t="s">
        <v>1121</v>
      </c>
      <c r="L93" s="5"/>
      <c r="M93" s="5"/>
    </row>
    <row r="94" spans="1:13">
      <c r="A94" s="5"/>
      <c r="B94" s="13">
        <v>21061</v>
      </c>
      <c r="C94" s="13">
        <v>4980</v>
      </c>
      <c r="D94" s="13">
        <v>744</v>
      </c>
      <c r="E94" s="13">
        <v>762</v>
      </c>
      <c r="F94" s="13">
        <v>736</v>
      </c>
      <c r="G94" s="13"/>
      <c r="H94" s="13"/>
      <c r="I94" s="13">
        <v>147</v>
      </c>
      <c r="J94" s="13"/>
      <c r="K94" s="14"/>
      <c r="L94" s="5"/>
      <c r="M94" s="5"/>
    </row>
    <row r="95" spans="1:13">
      <c r="A95" s="5"/>
      <c r="B95" s="13"/>
      <c r="C95" s="13"/>
      <c r="D95" s="13"/>
      <c r="E95" s="13"/>
      <c r="F95" s="13"/>
      <c r="G95" s="13"/>
      <c r="H95" s="13"/>
      <c r="I95" s="13"/>
      <c r="J95" s="13"/>
      <c r="K95" s="14"/>
      <c r="L95" s="5"/>
      <c r="M95" s="5"/>
    </row>
    <row r="96" spans="1:13">
      <c r="A96" s="34" t="s">
        <v>179</v>
      </c>
      <c r="B96" s="32" t="s">
        <v>2567</v>
      </c>
      <c r="C96" s="32" t="s">
        <v>2568</v>
      </c>
      <c r="D96" s="32" t="s">
        <v>2568</v>
      </c>
      <c r="E96" s="32" t="s">
        <v>2568</v>
      </c>
      <c r="F96" s="32" t="s">
        <v>2569</v>
      </c>
      <c r="G96" s="32"/>
      <c r="H96" s="32"/>
      <c r="I96" s="32" t="s">
        <v>2570</v>
      </c>
      <c r="J96" s="30">
        <v>7052</v>
      </c>
      <c r="K96" s="29" t="s">
        <v>2571</v>
      </c>
      <c r="L96" s="5"/>
      <c r="M96" s="5"/>
    </row>
    <row r="97" spans="1:13">
      <c r="A97" s="31"/>
      <c r="B97" s="30">
        <v>23529</v>
      </c>
      <c r="C97" s="30">
        <v>6947</v>
      </c>
      <c r="D97" s="30">
        <v>814</v>
      </c>
      <c r="E97" s="30">
        <v>422</v>
      </c>
      <c r="F97" s="30">
        <v>1159</v>
      </c>
      <c r="G97" s="30"/>
      <c r="H97" s="30"/>
      <c r="I97" s="30">
        <v>109</v>
      </c>
      <c r="J97" s="30"/>
      <c r="K97" s="33"/>
      <c r="L97" s="5"/>
      <c r="M97" s="5"/>
    </row>
    <row r="98" spans="1:13">
      <c r="A98" s="5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5"/>
      <c r="M98" s="5"/>
    </row>
    <row r="99" spans="1:13">
      <c r="A99" s="11" t="s">
        <v>181</v>
      </c>
      <c r="B99" s="12" t="s">
        <v>790</v>
      </c>
      <c r="C99" s="12" t="s">
        <v>2572</v>
      </c>
      <c r="D99" s="12" t="s">
        <v>2572</v>
      </c>
      <c r="E99" s="12" t="s">
        <v>2573</v>
      </c>
      <c r="F99" s="12" t="s">
        <v>2573</v>
      </c>
      <c r="G99" s="12" t="s">
        <v>2547</v>
      </c>
      <c r="H99" s="12"/>
      <c r="I99" s="15" t="s">
        <v>2574</v>
      </c>
      <c r="J99" s="13">
        <v>7289</v>
      </c>
      <c r="K99" s="15" t="s">
        <v>792</v>
      </c>
      <c r="L99" s="5"/>
      <c r="M99" s="5"/>
    </row>
    <row r="100" spans="1:13">
      <c r="A100" s="5"/>
      <c r="B100" s="13">
        <v>21862</v>
      </c>
      <c r="C100" s="13">
        <v>2200</v>
      </c>
      <c r="D100" s="13">
        <v>303</v>
      </c>
      <c r="E100" s="13">
        <v>437</v>
      </c>
      <c r="F100" s="13">
        <v>467</v>
      </c>
      <c r="G100" s="13">
        <v>354</v>
      </c>
      <c r="H100" s="13"/>
      <c r="I100" s="13">
        <v>143</v>
      </c>
      <c r="J100" s="13"/>
      <c r="K100" s="13"/>
      <c r="L100" s="5"/>
      <c r="M100" s="5"/>
    </row>
    <row r="101" spans="1:1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>
      <c r="A102" s="33" t="s">
        <v>4</v>
      </c>
      <c r="B102" s="32" t="s">
        <v>2575</v>
      </c>
      <c r="C102" s="32" t="s">
        <v>2576</v>
      </c>
      <c r="D102" s="32" t="s">
        <v>2576</v>
      </c>
      <c r="E102" s="32" t="s">
        <v>2576</v>
      </c>
      <c r="F102" s="32"/>
      <c r="G102" s="32" t="s">
        <v>2332</v>
      </c>
      <c r="H102" s="32"/>
      <c r="I102" s="32" t="s">
        <v>2831</v>
      </c>
      <c r="J102" s="30">
        <v>6979</v>
      </c>
      <c r="K102" s="32" t="s">
        <v>2577</v>
      </c>
      <c r="L102" s="5"/>
      <c r="M102" s="5"/>
    </row>
    <row r="103" spans="1:13">
      <c r="A103" s="30"/>
      <c r="B103" s="30">
        <v>16911</v>
      </c>
      <c r="C103" s="30">
        <v>5343</v>
      </c>
      <c r="D103" s="30">
        <v>836</v>
      </c>
      <c r="E103" s="30">
        <v>489</v>
      </c>
      <c r="F103" s="30"/>
      <c r="G103" s="30">
        <v>397</v>
      </c>
      <c r="H103" s="30"/>
      <c r="I103" s="30">
        <v>140</v>
      </c>
      <c r="J103" s="30"/>
      <c r="K103" s="33"/>
      <c r="L103" s="5"/>
      <c r="M103" s="5"/>
    </row>
    <row r="104" spans="1:1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5"/>
      <c r="M104" s="5"/>
    </row>
    <row r="105" spans="1:13">
      <c r="A105" s="14" t="s">
        <v>12</v>
      </c>
      <c r="B105" s="12" t="s">
        <v>2578</v>
      </c>
      <c r="C105" s="12" t="s">
        <v>2060</v>
      </c>
      <c r="D105" s="12" t="s">
        <v>2060</v>
      </c>
      <c r="E105" s="12" t="s">
        <v>2060</v>
      </c>
      <c r="F105" s="12" t="s">
        <v>2578</v>
      </c>
      <c r="G105" s="12"/>
      <c r="H105" s="12"/>
      <c r="I105" s="12" t="s">
        <v>2832</v>
      </c>
      <c r="J105" s="13">
        <v>7336</v>
      </c>
      <c r="K105" s="12" t="s">
        <v>2579</v>
      </c>
      <c r="L105" s="5"/>
      <c r="M105" s="5"/>
    </row>
    <row r="106" spans="1:13">
      <c r="A106" s="13"/>
      <c r="B106" s="13">
        <v>18183</v>
      </c>
      <c r="C106" s="13">
        <v>1965</v>
      </c>
      <c r="D106" s="13">
        <v>290</v>
      </c>
      <c r="E106" s="13">
        <v>316</v>
      </c>
      <c r="F106" s="13">
        <v>516</v>
      </c>
      <c r="G106" s="13"/>
      <c r="H106" s="13"/>
      <c r="I106" s="13">
        <v>188</v>
      </c>
      <c r="J106" s="13"/>
      <c r="K106" s="14"/>
      <c r="L106" s="5"/>
      <c r="M106" s="5"/>
    </row>
    <row r="107" spans="1:1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5"/>
      <c r="M107" s="5"/>
    </row>
    <row r="108" spans="1:13">
      <c r="A108" s="33" t="s">
        <v>19</v>
      </c>
      <c r="B108" s="32" t="s">
        <v>20</v>
      </c>
      <c r="C108" s="32" t="s">
        <v>2580</v>
      </c>
      <c r="D108" s="32" t="s">
        <v>2580</v>
      </c>
      <c r="E108" s="32" t="s">
        <v>2580</v>
      </c>
      <c r="F108" s="32" t="s">
        <v>20</v>
      </c>
      <c r="G108" s="32" t="s">
        <v>2581</v>
      </c>
      <c r="H108" s="32"/>
      <c r="I108" s="32" t="s">
        <v>2833</v>
      </c>
      <c r="J108" s="30">
        <v>7509</v>
      </c>
      <c r="K108" s="32" t="s">
        <v>21</v>
      </c>
      <c r="L108" s="5"/>
      <c r="M108" s="5"/>
    </row>
    <row r="109" spans="1:13">
      <c r="A109" s="30"/>
      <c r="B109" s="30">
        <v>20389</v>
      </c>
      <c r="C109" s="30">
        <v>1549</v>
      </c>
      <c r="D109" s="30">
        <v>217</v>
      </c>
      <c r="E109" s="30">
        <v>222</v>
      </c>
      <c r="F109" s="30">
        <v>672</v>
      </c>
      <c r="G109" s="30">
        <v>229</v>
      </c>
      <c r="H109" s="30"/>
      <c r="I109" s="30">
        <v>70</v>
      </c>
      <c r="J109" s="30"/>
      <c r="K109" s="33"/>
      <c r="L109" s="5"/>
      <c r="M109" s="5"/>
    </row>
    <row r="110" spans="1:1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5"/>
      <c r="M110" s="5"/>
    </row>
    <row r="111" spans="1:13">
      <c r="A111" s="14" t="s">
        <v>30</v>
      </c>
      <c r="B111" s="12" t="s">
        <v>795</v>
      </c>
      <c r="C111" s="12" t="s">
        <v>2582</v>
      </c>
      <c r="D111" s="12"/>
      <c r="E111" s="12"/>
      <c r="F111" s="12" t="s">
        <v>795</v>
      </c>
      <c r="G111" s="12"/>
      <c r="H111" s="12"/>
      <c r="I111" s="12"/>
      <c r="J111" s="13">
        <v>7972</v>
      </c>
      <c r="K111" s="12" t="s">
        <v>797</v>
      </c>
      <c r="L111" s="5"/>
      <c r="M111" s="5"/>
    </row>
    <row r="112" spans="1:13">
      <c r="A112" s="13"/>
      <c r="B112" s="13">
        <v>26249</v>
      </c>
      <c r="C112" s="13">
        <v>3539</v>
      </c>
      <c r="D112" s="13"/>
      <c r="E112" s="13"/>
      <c r="F112" s="13">
        <v>1017</v>
      </c>
      <c r="G112" s="13"/>
      <c r="H112" s="13"/>
      <c r="I112" s="14"/>
      <c r="J112" s="13"/>
      <c r="K112" s="14"/>
      <c r="L112" s="5"/>
      <c r="M112" s="5"/>
    </row>
    <row r="113" spans="1: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5"/>
      <c r="M113" s="5"/>
    </row>
    <row r="114" spans="1:13">
      <c r="A114" s="33" t="s">
        <v>34</v>
      </c>
      <c r="B114" s="32" t="s">
        <v>1483</v>
      </c>
      <c r="C114" s="32"/>
      <c r="D114" s="32"/>
      <c r="E114" s="32"/>
      <c r="F114" s="32" t="s">
        <v>1483</v>
      </c>
      <c r="G114" s="32"/>
      <c r="H114" s="32"/>
      <c r="I114" s="32"/>
      <c r="J114" s="30">
        <v>8411</v>
      </c>
      <c r="K114" s="32" t="s">
        <v>1484</v>
      </c>
      <c r="L114" s="5"/>
      <c r="M114" s="5"/>
    </row>
    <row r="115" spans="1:13">
      <c r="A115" s="30"/>
      <c r="B115" s="30">
        <v>12213</v>
      </c>
      <c r="C115" s="30"/>
      <c r="D115" s="30"/>
      <c r="E115" s="30"/>
      <c r="F115" s="30">
        <v>745</v>
      </c>
      <c r="G115" s="33"/>
      <c r="H115" s="33"/>
      <c r="I115" s="33"/>
      <c r="J115" s="30"/>
      <c r="K115" s="33"/>
      <c r="L115" s="5"/>
      <c r="M115" s="5"/>
    </row>
    <row r="116" spans="1:1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5"/>
      <c r="M116" s="5"/>
    </row>
    <row r="117" spans="1:13">
      <c r="A117" s="14" t="s">
        <v>41</v>
      </c>
      <c r="B117" s="12" t="s">
        <v>42</v>
      </c>
      <c r="C117" s="12"/>
      <c r="D117" s="12"/>
      <c r="E117" s="12"/>
      <c r="F117" s="12" t="s">
        <v>42</v>
      </c>
      <c r="G117" s="12"/>
      <c r="H117" s="12"/>
      <c r="I117" s="12"/>
      <c r="J117" s="13">
        <v>8524</v>
      </c>
      <c r="K117" s="12" t="s">
        <v>43</v>
      </c>
      <c r="L117" s="5"/>
      <c r="M117" s="5"/>
    </row>
    <row r="118" spans="1:13">
      <c r="A118" s="13"/>
      <c r="B118" s="13">
        <v>13755</v>
      </c>
      <c r="C118" s="13"/>
      <c r="D118" s="13"/>
      <c r="E118" s="13"/>
      <c r="F118" s="13">
        <v>499</v>
      </c>
      <c r="G118" s="14"/>
      <c r="H118" s="14"/>
      <c r="I118" s="14"/>
      <c r="J118" s="13"/>
      <c r="K118" s="14"/>
      <c r="L118" s="5"/>
      <c r="M118" s="5"/>
    </row>
    <row r="119" spans="1:1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5"/>
      <c r="M119" s="5"/>
    </row>
    <row r="120" spans="1:13">
      <c r="A120" s="33" t="s">
        <v>47</v>
      </c>
      <c r="B120" s="32" t="s">
        <v>2181</v>
      </c>
      <c r="C120" s="32" t="s">
        <v>2583</v>
      </c>
      <c r="D120" s="32" t="s">
        <v>2583</v>
      </c>
      <c r="E120" s="32"/>
      <c r="F120" s="32"/>
      <c r="G120" s="32"/>
      <c r="H120" s="32"/>
      <c r="I120" s="32" t="s">
        <v>2830</v>
      </c>
      <c r="J120" s="30">
        <v>6593</v>
      </c>
      <c r="K120" s="32" t="s">
        <v>2337</v>
      </c>
      <c r="L120" s="5"/>
      <c r="M120" s="5"/>
    </row>
    <row r="121" spans="1:13">
      <c r="A121" s="30"/>
      <c r="B121" s="30">
        <v>16607</v>
      </c>
      <c r="C121" s="30">
        <v>5830</v>
      </c>
      <c r="D121" s="30">
        <v>788</v>
      </c>
      <c r="E121" s="30"/>
      <c r="F121" s="30"/>
      <c r="G121" s="30"/>
      <c r="H121" s="30"/>
      <c r="I121" s="30">
        <v>597</v>
      </c>
      <c r="J121" s="30"/>
      <c r="K121" s="33"/>
      <c r="L121" s="5"/>
      <c r="M121" s="5"/>
    </row>
    <row r="122" spans="1:1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5"/>
      <c r="M122" s="5"/>
    </row>
    <row r="123" spans="1:13">
      <c r="A123" s="14" t="s">
        <v>53</v>
      </c>
      <c r="B123" s="12" t="s">
        <v>54</v>
      </c>
      <c r="C123" s="12" t="s">
        <v>2584</v>
      </c>
      <c r="D123" s="12" t="s">
        <v>2584</v>
      </c>
      <c r="E123" s="12" t="s">
        <v>2584</v>
      </c>
      <c r="F123" s="12"/>
      <c r="G123" s="12"/>
      <c r="H123" s="12"/>
      <c r="I123" s="12" t="s">
        <v>2834</v>
      </c>
      <c r="J123" s="13">
        <v>5533</v>
      </c>
      <c r="K123" s="12" t="s">
        <v>55</v>
      </c>
      <c r="L123" s="5"/>
      <c r="M123" s="5"/>
    </row>
    <row r="124" spans="1:13">
      <c r="A124" s="13"/>
      <c r="B124" s="13">
        <v>15375</v>
      </c>
      <c r="C124" s="13">
        <v>2632</v>
      </c>
      <c r="D124" s="13">
        <v>396</v>
      </c>
      <c r="E124" s="13">
        <v>304</v>
      </c>
      <c r="F124" s="13"/>
      <c r="G124" s="13"/>
      <c r="H124" s="13"/>
      <c r="I124" s="13">
        <v>115</v>
      </c>
      <c r="J124" s="13"/>
      <c r="K124" s="14"/>
      <c r="L124" s="5"/>
      <c r="M124" s="5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5"/>
      <c r="M125" s="5"/>
    </row>
    <row r="126" spans="1:13">
      <c r="A126" s="33" t="s">
        <v>61</v>
      </c>
      <c r="B126" s="32" t="s">
        <v>1323</v>
      </c>
      <c r="C126" s="32" t="s">
        <v>2585</v>
      </c>
      <c r="D126" s="32" t="s">
        <v>1323</v>
      </c>
      <c r="E126" s="32" t="s">
        <v>1323</v>
      </c>
      <c r="F126" s="32"/>
      <c r="G126" s="32"/>
      <c r="H126" s="32"/>
      <c r="I126" s="32"/>
      <c r="J126" s="30">
        <v>6638</v>
      </c>
      <c r="K126" s="32" t="s">
        <v>1324</v>
      </c>
      <c r="L126" s="5"/>
      <c r="M126" s="5"/>
    </row>
    <row r="127" spans="1:13">
      <c r="A127" s="30"/>
      <c r="B127" s="30">
        <v>15286</v>
      </c>
      <c r="C127" s="30">
        <v>5577</v>
      </c>
      <c r="D127" s="30">
        <v>2449</v>
      </c>
      <c r="E127" s="30">
        <v>1049</v>
      </c>
      <c r="F127" s="30"/>
      <c r="G127" s="30"/>
      <c r="H127" s="30"/>
      <c r="I127" s="30"/>
      <c r="J127" s="30"/>
      <c r="K127" s="33"/>
      <c r="L127" s="5"/>
      <c r="M127" s="5"/>
    </row>
    <row r="128" spans="1:1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5"/>
      <c r="M128" s="5"/>
    </row>
    <row r="129" spans="1:13">
      <c r="A129" s="14" t="s">
        <v>65</v>
      </c>
      <c r="B129" s="12" t="s">
        <v>2586</v>
      </c>
      <c r="C129" s="12" t="s">
        <v>2587</v>
      </c>
      <c r="D129" s="12" t="s">
        <v>2587</v>
      </c>
      <c r="E129" s="12"/>
      <c r="F129" s="12" t="s">
        <v>2587</v>
      </c>
      <c r="G129" s="12"/>
      <c r="H129" s="12"/>
      <c r="I129" s="12"/>
      <c r="J129" s="13">
        <v>11412</v>
      </c>
      <c r="K129" s="12" t="s">
        <v>2588</v>
      </c>
      <c r="L129" s="5"/>
      <c r="M129" s="5"/>
    </row>
    <row r="130" spans="1:13">
      <c r="A130" s="13"/>
      <c r="B130" s="13">
        <v>17417</v>
      </c>
      <c r="C130" s="13">
        <v>5356</v>
      </c>
      <c r="D130" s="13">
        <v>1041</v>
      </c>
      <c r="E130" s="13"/>
      <c r="F130" s="13">
        <v>1</v>
      </c>
      <c r="G130" s="14"/>
      <c r="H130" s="14"/>
      <c r="I130" s="14"/>
      <c r="J130" s="13"/>
      <c r="K130" s="14"/>
      <c r="L130" s="5"/>
      <c r="M130" s="5"/>
    </row>
    <row r="131" spans="1:1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5"/>
      <c r="M131" s="5"/>
    </row>
    <row r="132" spans="1:13">
      <c r="A132" s="33" t="s">
        <v>71</v>
      </c>
      <c r="B132" s="32" t="s">
        <v>2340</v>
      </c>
      <c r="C132" s="32" t="s">
        <v>2589</v>
      </c>
      <c r="D132" s="32" t="s">
        <v>2589</v>
      </c>
      <c r="E132" s="32"/>
      <c r="F132" s="32" t="s">
        <v>2340</v>
      </c>
      <c r="G132" s="32" t="s">
        <v>2590</v>
      </c>
      <c r="H132" s="32"/>
      <c r="I132" s="32"/>
      <c r="J132" s="30">
        <v>9746</v>
      </c>
      <c r="K132" s="32" t="s">
        <v>2342</v>
      </c>
      <c r="L132" s="5"/>
      <c r="M132" s="5"/>
    </row>
    <row r="133" spans="1:13">
      <c r="A133" s="30"/>
      <c r="B133" s="30">
        <v>17180</v>
      </c>
      <c r="C133" s="30">
        <v>375</v>
      </c>
      <c r="D133" s="30">
        <v>83</v>
      </c>
      <c r="E133" s="30"/>
      <c r="F133" s="30">
        <v>344</v>
      </c>
      <c r="G133" s="30">
        <v>159</v>
      </c>
      <c r="H133" s="30"/>
      <c r="I133" s="33"/>
      <c r="J133" s="30"/>
      <c r="K133" s="33"/>
      <c r="L133" s="5"/>
      <c r="M133" s="5"/>
    </row>
    <row r="134" spans="1:1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5"/>
      <c r="M134" s="5"/>
    </row>
    <row r="135" spans="1:13">
      <c r="A135" s="14" t="s">
        <v>75</v>
      </c>
      <c r="B135" s="12" t="s">
        <v>76</v>
      </c>
      <c r="C135" s="12" t="s">
        <v>2591</v>
      </c>
      <c r="D135" s="12"/>
      <c r="E135" s="12" t="s">
        <v>2591</v>
      </c>
      <c r="F135" s="12" t="s">
        <v>76</v>
      </c>
      <c r="G135" s="12"/>
      <c r="H135" s="12"/>
      <c r="I135" s="12"/>
      <c r="J135" s="13">
        <v>12587</v>
      </c>
      <c r="K135" s="12" t="s">
        <v>77</v>
      </c>
      <c r="L135" s="5"/>
      <c r="M135" s="5"/>
    </row>
    <row r="136" spans="1:13">
      <c r="A136" s="13"/>
      <c r="B136" s="13">
        <v>20492</v>
      </c>
      <c r="C136" s="13">
        <v>956</v>
      </c>
      <c r="D136" s="13"/>
      <c r="E136" s="13">
        <v>275</v>
      </c>
      <c r="F136" s="13">
        <v>610</v>
      </c>
      <c r="G136" s="13"/>
      <c r="H136" s="13"/>
      <c r="I136" s="13"/>
      <c r="J136" s="13"/>
      <c r="K136" s="14"/>
      <c r="L136" s="5"/>
      <c r="M136" s="5"/>
    </row>
    <row r="137" spans="1:1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5"/>
      <c r="M137" s="5"/>
    </row>
    <row r="138" spans="1:13">
      <c r="A138" s="33" t="s">
        <v>82</v>
      </c>
      <c r="B138" s="32" t="s">
        <v>961</v>
      </c>
      <c r="C138" s="32"/>
      <c r="D138" s="32"/>
      <c r="E138" s="32"/>
      <c r="F138" s="32" t="s">
        <v>961</v>
      </c>
      <c r="G138" s="32"/>
      <c r="H138" s="32"/>
      <c r="I138" s="32" t="s">
        <v>2835</v>
      </c>
      <c r="J138" s="30">
        <v>8816</v>
      </c>
      <c r="K138" s="32" t="s">
        <v>963</v>
      </c>
      <c r="L138" s="5"/>
      <c r="M138" s="5"/>
    </row>
    <row r="139" spans="1:13">
      <c r="A139" s="30"/>
      <c r="B139" s="30">
        <v>13268</v>
      </c>
      <c r="C139" s="30"/>
      <c r="D139" s="30"/>
      <c r="E139" s="30"/>
      <c r="F139" s="30">
        <v>317</v>
      </c>
      <c r="G139" s="33"/>
      <c r="H139" s="33"/>
      <c r="I139" s="30">
        <v>109</v>
      </c>
      <c r="J139" s="30"/>
      <c r="K139" s="33"/>
      <c r="L139" s="5"/>
      <c r="M139" s="5"/>
    </row>
    <row r="140" spans="1:1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5"/>
      <c r="M140" s="5"/>
    </row>
    <row r="141" spans="1:13">
      <c r="A141" s="14" t="s">
        <v>85</v>
      </c>
      <c r="B141" s="12" t="s">
        <v>1651</v>
      </c>
      <c r="C141" s="12" t="s">
        <v>20</v>
      </c>
      <c r="D141" s="12" t="s">
        <v>20</v>
      </c>
      <c r="E141" s="12"/>
      <c r="F141" s="12" t="s">
        <v>1651</v>
      </c>
      <c r="G141" s="12"/>
      <c r="H141" s="12"/>
      <c r="I141" s="12" t="s">
        <v>2836</v>
      </c>
      <c r="J141" s="13">
        <v>7397</v>
      </c>
      <c r="K141" s="12" t="s">
        <v>1652</v>
      </c>
      <c r="L141" s="5"/>
      <c r="M141" s="5"/>
    </row>
    <row r="142" spans="1:13">
      <c r="A142" s="13"/>
      <c r="B142" s="13">
        <v>15948</v>
      </c>
      <c r="C142" s="13">
        <v>713</v>
      </c>
      <c r="D142" s="13">
        <v>294</v>
      </c>
      <c r="E142" s="13"/>
      <c r="F142" s="13">
        <v>380</v>
      </c>
      <c r="G142" s="13"/>
      <c r="H142" s="13"/>
      <c r="I142" s="13">
        <v>117</v>
      </c>
      <c r="J142" s="13"/>
      <c r="K142" s="14"/>
      <c r="L142" s="5"/>
      <c r="M142" s="5"/>
    </row>
    <row r="143" spans="1:1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5"/>
      <c r="M143" s="5"/>
    </row>
    <row r="144" spans="1:13">
      <c r="A144" s="33" t="s">
        <v>90</v>
      </c>
      <c r="B144" s="32" t="s">
        <v>807</v>
      </c>
      <c r="C144" s="32" t="s">
        <v>2592</v>
      </c>
      <c r="D144" s="32" t="s">
        <v>2592</v>
      </c>
      <c r="E144" s="32"/>
      <c r="F144" s="32" t="s">
        <v>807</v>
      </c>
      <c r="G144" s="32"/>
      <c r="H144" s="32"/>
      <c r="I144" s="32"/>
      <c r="J144" s="30">
        <v>10199</v>
      </c>
      <c r="K144" s="32" t="s">
        <v>810</v>
      </c>
      <c r="L144" s="5"/>
      <c r="M144" s="5"/>
    </row>
    <row r="145" spans="1:13">
      <c r="A145" s="30"/>
      <c r="B145" s="30">
        <v>19758</v>
      </c>
      <c r="C145" s="30">
        <v>3202</v>
      </c>
      <c r="D145" s="30">
        <v>652</v>
      </c>
      <c r="E145" s="30"/>
      <c r="F145" s="30">
        <v>1086</v>
      </c>
      <c r="G145" s="33"/>
      <c r="H145" s="33"/>
      <c r="I145" s="33"/>
      <c r="J145" s="30"/>
      <c r="K145" s="33"/>
      <c r="L145" s="5"/>
      <c r="M145" s="5"/>
    </row>
    <row r="146" spans="1:1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5"/>
      <c r="M146" s="5"/>
    </row>
    <row r="147" spans="1:13">
      <c r="A147" s="14" t="s">
        <v>93</v>
      </c>
      <c r="B147" s="12" t="s">
        <v>2593</v>
      </c>
      <c r="C147" s="12" t="s">
        <v>2594</v>
      </c>
      <c r="D147" s="12" t="s">
        <v>2594</v>
      </c>
      <c r="E147" s="12" t="s">
        <v>2594</v>
      </c>
      <c r="F147" s="12" t="s">
        <v>2595</v>
      </c>
      <c r="G147" s="12"/>
      <c r="H147" s="12"/>
      <c r="I147" s="12" t="s">
        <v>2837</v>
      </c>
      <c r="J147" s="13">
        <v>8390</v>
      </c>
      <c r="K147" s="12" t="s">
        <v>2596</v>
      </c>
      <c r="L147" s="5"/>
      <c r="M147" s="5"/>
    </row>
    <row r="148" spans="1:13">
      <c r="A148" s="13"/>
      <c r="B148" s="13">
        <v>15473</v>
      </c>
      <c r="C148" s="13">
        <v>4575</v>
      </c>
      <c r="D148" s="13">
        <v>714</v>
      </c>
      <c r="E148" s="13">
        <v>207</v>
      </c>
      <c r="F148" s="13">
        <v>367</v>
      </c>
      <c r="G148" s="13"/>
      <c r="H148" s="13"/>
      <c r="I148" s="13">
        <v>86</v>
      </c>
      <c r="J148" s="13"/>
      <c r="K148" s="14"/>
      <c r="L148" s="5"/>
      <c r="M148" s="5"/>
    </row>
    <row r="149" spans="1:1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5"/>
      <c r="M149" s="5"/>
    </row>
    <row r="150" spans="1:13">
      <c r="A150" s="33" t="s">
        <v>97</v>
      </c>
      <c r="B150" s="32" t="s">
        <v>2597</v>
      </c>
      <c r="C150" s="32" t="s">
        <v>2598</v>
      </c>
      <c r="D150" s="32" t="s">
        <v>2598</v>
      </c>
      <c r="E150" s="32"/>
      <c r="F150" s="32" t="s">
        <v>2599</v>
      </c>
      <c r="G150" s="32"/>
      <c r="H150" s="32"/>
      <c r="I150" s="32"/>
      <c r="J150" s="30">
        <v>10944</v>
      </c>
      <c r="K150" s="32" t="s">
        <v>2600</v>
      </c>
      <c r="L150" s="5"/>
      <c r="M150" s="5"/>
    </row>
    <row r="151" spans="1:13">
      <c r="A151" s="30"/>
      <c r="B151" s="30">
        <v>13920</v>
      </c>
      <c r="C151" s="30">
        <v>3881</v>
      </c>
      <c r="D151" s="30">
        <v>979</v>
      </c>
      <c r="E151" s="30"/>
      <c r="F151" s="30">
        <v>420</v>
      </c>
      <c r="G151" s="33"/>
      <c r="H151" s="33"/>
      <c r="I151" s="33"/>
      <c r="J151" s="30"/>
      <c r="K151" s="33"/>
      <c r="L151" s="5"/>
      <c r="M151" s="5"/>
    </row>
    <row r="152" spans="1:1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5"/>
      <c r="M152" s="5"/>
    </row>
    <row r="153" spans="1:13">
      <c r="A153" s="14" t="s">
        <v>101</v>
      </c>
      <c r="B153" s="12" t="s">
        <v>2075</v>
      </c>
      <c r="C153" s="12" t="s">
        <v>2601</v>
      </c>
      <c r="D153" s="12" t="s">
        <v>2601</v>
      </c>
      <c r="E153" s="12"/>
      <c r="F153" s="12"/>
      <c r="G153" s="12"/>
      <c r="H153" s="12"/>
      <c r="I153" s="15"/>
      <c r="J153" s="13">
        <v>8693</v>
      </c>
      <c r="K153" s="12" t="s">
        <v>102</v>
      </c>
      <c r="L153" s="5"/>
      <c r="M153" s="5"/>
    </row>
    <row r="154" spans="1:13">
      <c r="A154" s="13"/>
      <c r="B154" s="13">
        <v>11274</v>
      </c>
      <c r="C154" s="13">
        <v>5104</v>
      </c>
      <c r="D154" s="13">
        <v>795</v>
      </c>
      <c r="E154" s="13"/>
      <c r="F154" s="14"/>
      <c r="G154" s="14"/>
      <c r="H154" s="14"/>
      <c r="I154" s="14"/>
      <c r="J154" s="13"/>
      <c r="K154" s="14"/>
      <c r="L154" s="5"/>
      <c r="M154" s="5"/>
    </row>
    <row r="155" spans="1:1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5"/>
      <c r="M155" s="5"/>
    </row>
    <row r="156" spans="1:13">
      <c r="A156" s="33" t="s">
        <v>106</v>
      </c>
      <c r="B156" s="32" t="s">
        <v>107</v>
      </c>
      <c r="C156" s="32" t="s">
        <v>2602</v>
      </c>
      <c r="D156" s="32" t="s">
        <v>2602</v>
      </c>
      <c r="E156" s="32"/>
      <c r="F156" s="32"/>
      <c r="G156" s="32"/>
      <c r="H156" s="32"/>
      <c r="I156" s="32"/>
      <c r="J156" s="30">
        <v>7734</v>
      </c>
      <c r="K156" s="32" t="s">
        <v>108</v>
      </c>
      <c r="L156" s="5"/>
      <c r="M156" s="5"/>
    </row>
    <row r="157" spans="1:13">
      <c r="A157" s="30"/>
      <c r="B157" s="30">
        <v>12503</v>
      </c>
      <c r="C157" s="30">
        <v>3515</v>
      </c>
      <c r="D157" s="30">
        <v>823</v>
      </c>
      <c r="E157" s="30"/>
      <c r="F157" s="33"/>
      <c r="G157" s="33"/>
      <c r="H157" s="33"/>
      <c r="I157" s="33"/>
      <c r="J157" s="30"/>
      <c r="K157" s="33"/>
      <c r="L157" s="5"/>
      <c r="M157" s="5"/>
    </row>
    <row r="158" spans="1:1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5"/>
      <c r="M158" s="5"/>
    </row>
    <row r="159" spans="1:13">
      <c r="A159" s="14" t="s">
        <v>112</v>
      </c>
      <c r="B159" s="12" t="s">
        <v>261</v>
      </c>
      <c r="C159" s="12" t="s">
        <v>2603</v>
      </c>
      <c r="D159" s="12" t="s">
        <v>2604</v>
      </c>
      <c r="E159" s="12"/>
      <c r="F159" s="12"/>
      <c r="G159" s="12"/>
      <c r="H159" s="12"/>
      <c r="I159" s="12"/>
      <c r="J159" s="13">
        <v>6472</v>
      </c>
      <c r="K159" s="12" t="s">
        <v>262</v>
      </c>
      <c r="L159" s="5"/>
      <c r="M159" s="5"/>
    </row>
    <row r="160" spans="1:13">
      <c r="A160" s="13"/>
      <c r="B160" s="13">
        <v>13570</v>
      </c>
      <c r="C160" s="13">
        <v>4572</v>
      </c>
      <c r="D160" s="13">
        <v>835</v>
      </c>
      <c r="E160" s="13"/>
      <c r="F160" s="14"/>
      <c r="G160" s="14"/>
      <c r="H160" s="14"/>
      <c r="I160" s="14"/>
      <c r="J160" s="13"/>
      <c r="K160" s="14"/>
      <c r="L160" s="5"/>
      <c r="M160" s="5"/>
    </row>
    <row r="161" spans="1:1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5"/>
      <c r="M161" s="5"/>
    </row>
    <row r="162" spans="1:13">
      <c r="A162" s="33" t="s">
        <v>116</v>
      </c>
      <c r="B162" s="32" t="s">
        <v>117</v>
      </c>
      <c r="C162" s="32" t="s">
        <v>2605</v>
      </c>
      <c r="D162" s="32" t="s">
        <v>2605</v>
      </c>
      <c r="E162" s="32"/>
      <c r="F162" s="32" t="s">
        <v>2606</v>
      </c>
      <c r="G162" s="32"/>
      <c r="H162" s="32"/>
      <c r="I162" s="32" t="s">
        <v>2607</v>
      </c>
      <c r="J162" s="30">
        <v>7884</v>
      </c>
      <c r="K162" s="32" t="s">
        <v>118</v>
      </c>
      <c r="L162" s="5"/>
      <c r="M162" s="5"/>
    </row>
    <row r="163" spans="1:13">
      <c r="A163" s="30"/>
      <c r="B163" s="30">
        <v>13345</v>
      </c>
      <c r="C163" s="30">
        <v>1860</v>
      </c>
      <c r="D163" s="30">
        <v>433</v>
      </c>
      <c r="E163" s="30"/>
      <c r="F163" s="30">
        <v>350</v>
      </c>
      <c r="G163" s="30"/>
      <c r="H163" s="30"/>
      <c r="I163" s="30">
        <v>85</v>
      </c>
      <c r="J163" s="30"/>
      <c r="K163" s="33"/>
      <c r="L163" s="5"/>
      <c r="M163" s="5"/>
    </row>
    <row r="164" spans="1:1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5"/>
      <c r="M164" s="5"/>
    </row>
    <row r="165" spans="1:13">
      <c r="A165" s="14" t="s">
        <v>120</v>
      </c>
      <c r="B165" s="12" t="s">
        <v>121</v>
      </c>
      <c r="C165" s="12" t="s">
        <v>2608</v>
      </c>
      <c r="D165" s="12" t="s">
        <v>2609</v>
      </c>
      <c r="E165" s="12" t="s">
        <v>1816</v>
      </c>
      <c r="F165" s="12" t="s">
        <v>121</v>
      </c>
      <c r="G165" s="12"/>
      <c r="H165" s="12"/>
      <c r="I165" s="12" t="s">
        <v>2610</v>
      </c>
      <c r="J165" s="13">
        <v>6865</v>
      </c>
      <c r="K165" s="12" t="s">
        <v>122</v>
      </c>
      <c r="L165" s="5"/>
      <c r="M165" s="5"/>
    </row>
    <row r="166" spans="1:13">
      <c r="A166" s="13"/>
      <c r="B166" s="13">
        <v>13283</v>
      </c>
      <c r="C166" s="13">
        <v>1373</v>
      </c>
      <c r="D166" s="13">
        <v>427</v>
      </c>
      <c r="E166" s="13">
        <v>401</v>
      </c>
      <c r="F166" s="13">
        <v>490</v>
      </c>
      <c r="G166" s="13"/>
      <c r="H166" s="13"/>
      <c r="I166" s="13">
        <v>57</v>
      </c>
      <c r="J166" s="13"/>
      <c r="K166" s="14"/>
      <c r="L166" s="5"/>
      <c r="M166" s="5"/>
    </row>
    <row r="167" spans="1:1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5"/>
      <c r="M167" s="5"/>
    </row>
    <row r="168" spans="1:13">
      <c r="A168" s="33" t="s">
        <v>134</v>
      </c>
      <c r="B168" s="32" t="s">
        <v>2611</v>
      </c>
      <c r="C168" s="32" t="s">
        <v>2612</v>
      </c>
      <c r="D168" s="32" t="s">
        <v>2613</v>
      </c>
      <c r="E168" s="32" t="s">
        <v>2477</v>
      </c>
      <c r="F168" s="32" t="s">
        <v>2611</v>
      </c>
      <c r="G168" s="32"/>
      <c r="H168" s="32" t="s">
        <v>2477</v>
      </c>
      <c r="I168" s="32"/>
      <c r="J168" s="30">
        <v>8762</v>
      </c>
      <c r="K168" s="32" t="s">
        <v>2614</v>
      </c>
      <c r="L168" s="5"/>
      <c r="M168" s="5"/>
    </row>
    <row r="169" spans="1:13">
      <c r="A169" s="30"/>
      <c r="B169" s="30">
        <v>21586</v>
      </c>
      <c r="C169" s="30">
        <v>5957</v>
      </c>
      <c r="D169" s="30">
        <v>1416</v>
      </c>
      <c r="E169" s="30">
        <v>648</v>
      </c>
      <c r="F169" s="30">
        <v>1108</v>
      </c>
      <c r="G169" s="30"/>
      <c r="H169" s="30">
        <v>1524</v>
      </c>
      <c r="I169" s="30"/>
      <c r="J169" s="30"/>
      <c r="K169" s="33"/>
      <c r="L169" s="5"/>
      <c r="M169" s="5"/>
    </row>
    <row r="170" spans="1:1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5"/>
      <c r="M170" s="5"/>
    </row>
    <row r="171" spans="1:13">
      <c r="A171" s="14" t="s">
        <v>139</v>
      </c>
      <c r="B171" s="12" t="s">
        <v>975</v>
      </c>
      <c r="C171" s="12" t="s">
        <v>2615</v>
      </c>
      <c r="D171" s="12" t="s">
        <v>2615</v>
      </c>
      <c r="E171" s="12"/>
      <c r="F171" s="12" t="s">
        <v>975</v>
      </c>
      <c r="G171" s="12"/>
      <c r="H171" s="12"/>
      <c r="I171" s="12"/>
      <c r="J171" s="13">
        <v>7755</v>
      </c>
      <c r="K171" s="12" t="s">
        <v>977</v>
      </c>
      <c r="L171" s="5"/>
      <c r="M171" s="5"/>
    </row>
    <row r="172" spans="1:13">
      <c r="A172" s="13" t="s">
        <v>978</v>
      </c>
      <c r="B172" s="13">
        <v>12862</v>
      </c>
      <c r="C172" s="13">
        <v>788</v>
      </c>
      <c r="D172" s="13">
        <v>180</v>
      </c>
      <c r="E172" s="13"/>
      <c r="F172" s="13">
        <v>420</v>
      </c>
      <c r="G172" s="14"/>
      <c r="H172" s="14"/>
      <c r="I172" s="14"/>
      <c r="J172" s="13"/>
      <c r="K172" s="14"/>
      <c r="L172" s="5"/>
      <c r="M172" s="5"/>
    </row>
    <row r="173" spans="1:1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5"/>
      <c r="M173" s="5"/>
    </row>
    <row r="174" spans="1:13">
      <c r="A174" s="33" t="s">
        <v>142</v>
      </c>
      <c r="B174" s="32" t="s">
        <v>1137</v>
      </c>
      <c r="C174" s="32" t="s">
        <v>2616</v>
      </c>
      <c r="D174" s="32" t="s">
        <v>2616</v>
      </c>
      <c r="E174" s="32"/>
      <c r="F174" s="32" t="s">
        <v>2617</v>
      </c>
      <c r="G174" s="32"/>
      <c r="H174" s="32"/>
      <c r="I174" s="32"/>
      <c r="J174" s="30">
        <v>7982</v>
      </c>
      <c r="K174" s="32" t="s">
        <v>1139</v>
      </c>
      <c r="L174" s="5"/>
      <c r="M174" s="5"/>
    </row>
    <row r="175" spans="1:13">
      <c r="A175" s="30"/>
      <c r="B175" s="30">
        <v>11197</v>
      </c>
      <c r="C175" s="30">
        <v>729</v>
      </c>
      <c r="D175" s="30">
        <v>177</v>
      </c>
      <c r="E175" s="30"/>
      <c r="F175" s="30">
        <v>259</v>
      </c>
      <c r="G175" s="33"/>
      <c r="H175" s="33"/>
      <c r="I175" s="33"/>
      <c r="J175" s="30"/>
      <c r="K175" s="33"/>
      <c r="L175" s="5"/>
      <c r="M175" s="5"/>
    </row>
    <row r="176" spans="1:1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5"/>
      <c r="M176" s="5"/>
    </row>
    <row r="177" spans="1:13">
      <c r="A177" s="14" t="s">
        <v>145</v>
      </c>
      <c r="B177" s="12" t="s">
        <v>1861</v>
      </c>
      <c r="C177" s="12"/>
      <c r="D177" s="12"/>
      <c r="E177" s="12"/>
      <c r="F177" s="12" t="s">
        <v>1861</v>
      </c>
      <c r="G177" s="12"/>
      <c r="H177" s="12"/>
      <c r="I177" s="12"/>
      <c r="J177" s="13">
        <v>9338</v>
      </c>
      <c r="K177" s="12" t="s">
        <v>2085</v>
      </c>
      <c r="L177" s="5"/>
      <c r="M177" s="5"/>
    </row>
    <row r="178" spans="1:13">
      <c r="A178" s="13"/>
      <c r="B178" s="13">
        <v>16476</v>
      </c>
      <c r="C178" s="13"/>
      <c r="D178" s="13"/>
      <c r="E178" s="13"/>
      <c r="F178" s="13">
        <v>434</v>
      </c>
      <c r="G178" s="14"/>
      <c r="H178" s="14"/>
      <c r="I178" s="14"/>
      <c r="J178" s="13"/>
      <c r="K178" s="14"/>
      <c r="L178" s="5"/>
      <c r="M178" s="5"/>
    </row>
    <row r="179" spans="1:1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5"/>
      <c r="M179" s="5"/>
    </row>
    <row r="180" spans="1:13">
      <c r="A180" s="33" t="s">
        <v>150</v>
      </c>
      <c r="B180" s="32" t="s">
        <v>2086</v>
      </c>
      <c r="C180" s="32" t="s">
        <v>2572</v>
      </c>
      <c r="D180" s="32"/>
      <c r="E180" s="32" t="s">
        <v>668</v>
      </c>
      <c r="F180" s="32" t="s">
        <v>2572</v>
      </c>
      <c r="G180" s="32"/>
      <c r="H180" s="32"/>
      <c r="I180" s="32"/>
      <c r="J180" s="30">
        <v>9171</v>
      </c>
      <c r="K180" s="32" t="s">
        <v>2089</v>
      </c>
      <c r="L180" s="5"/>
      <c r="M180" s="5"/>
    </row>
    <row r="181" spans="1:13">
      <c r="A181" s="30"/>
      <c r="B181" s="30">
        <v>18754</v>
      </c>
      <c r="C181" s="30">
        <v>455</v>
      </c>
      <c r="D181" s="30"/>
      <c r="E181" s="30">
        <v>210</v>
      </c>
      <c r="F181" s="30">
        <v>310</v>
      </c>
      <c r="G181" s="30"/>
      <c r="H181" s="30"/>
      <c r="I181" s="30"/>
      <c r="J181" s="30"/>
      <c r="K181" s="33"/>
      <c r="L181" s="5"/>
      <c r="M181" s="5"/>
    </row>
    <row r="182" spans="1:1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5"/>
      <c r="M182" s="5"/>
    </row>
    <row r="183" spans="1:13">
      <c r="A183" s="14" t="s">
        <v>154</v>
      </c>
      <c r="B183" s="12" t="s">
        <v>1670</v>
      </c>
      <c r="C183" s="12" t="s">
        <v>2356</v>
      </c>
      <c r="D183" s="12"/>
      <c r="E183" s="12"/>
      <c r="F183" s="12" t="s">
        <v>2618</v>
      </c>
      <c r="G183" s="12"/>
      <c r="H183" s="12"/>
      <c r="I183" s="12"/>
      <c r="J183" s="13">
        <v>9431</v>
      </c>
      <c r="K183" s="12" t="s">
        <v>1672</v>
      </c>
      <c r="L183" s="5"/>
      <c r="M183" s="5"/>
    </row>
    <row r="184" spans="1:13">
      <c r="A184" s="13"/>
      <c r="B184" s="13">
        <v>21285</v>
      </c>
      <c r="C184" s="13">
        <v>703</v>
      </c>
      <c r="D184" s="13"/>
      <c r="E184" s="13"/>
      <c r="F184" s="13">
        <v>453</v>
      </c>
      <c r="G184" s="13"/>
      <c r="H184" s="13"/>
      <c r="I184" s="13"/>
      <c r="J184" s="13"/>
      <c r="K184" s="13"/>
      <c r="L184" s="5"/>
      <c r="M184" s="5"/>
    </row>
    <row r="185" spans="1:1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5"/>
      <c r="M185" s="5"/>
    </row>
    <row r="186" spans="1:13">
      <c r="A186" s="33" t="s">
        <v>158</v>
      </c>
      <c r="B186" s="32" t="s">
        <v>159</v>
      </c>
      <c r="C186" s="32" t="s">
        <v>2357</v>
      </c>
      <c r="D186" s="32" t="s">
        <v>2357</v>
      </c>
      <c r="E186" s="32" t="s">
        <v>2838</v>
      </c>
      <c r="F186" s="32" t="s">
        <v>2619</v>
      </c>
      <c r="G186" s="32"/>
      <c r="H186" s="32"/>
      <c r="I186" s="32"/>
      <c r="J186" s="30">
        <v>6897</v>
      </c>
      <c r="K186" s="32" t="s">
        <v>160</v>
      </c>
      <c r="L186" s="5"/>
      <c r="M186" s="5"/>
    </row>
    <row r="187" spans="1:13">
      <c r="A187" s="30"/>
      <c r="B187" s="30">
        <v>17979</v>
      </c>
      <c r="C187" s="30">
        <v>529</v>
      </c>
      <c r="D187" s="30">
        <v>104</v>
      </c>
      <c r="E187" s="30">
        <v>874</v>
      </c>
      <c r="F187" s="30">
        <v>352</v>
      </c>
      <c r="G187" s="30"/>
      <c r="H187" s="30"/>
      <c r="I187" s="30"/>
      <c r="J187" s="30"/>
      <c r="K187" s="33"/>
      <c r="L187" s="5"/>
      <c r="M187" s="5"/>
    </row>
    <row r="188" spans="1:1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5"/>
      <c r="M188" s="5"/>
    </row>
    <row r="189" spans="1:13">
      <c r="A189" s="14" t="s">
        <v>166</v>
      </c>
      <c r="B189" s="12" t="s">
        <v>2358</v>
      </c>
      <c r="C189" s="12" t="s">
        <v>2620</v>
      </c>
      <c r="D189" s="12" t="s">
        <v>2620</v>
      </c>
      <c r="E189" s="12" t="s">
        <v>2839</v>
      </c>
      <c r="F189" s="12"/>
      <c r="G189" s="12"/>
      <c r="H189" s="12"/>
      <c r="I189" s="12" t="s">
        <v>2842</v>
      </c>
      <c r="J189" s="13">
        <v>9961</v>
      </c>
      <c r="K189" s="12" t="s">
        <v>2361</v>
      </c>
      <c r="L189" s="5"/>
      <c r="M189" s="5"/>
    </row>
    <row r="190" spans="1:13">
      <c r="A190" s="13"/>
      <c r="B190" s="13">
        <v>20807</v>
      </c>
      <c r="C190" s="13">
        <v>6767</v>
      </c>
      <c r="D190" s="13">
        <v>1418</v>
      </c>
      <c r="E190" s="13">
        <v>603</v>
      </c>
      <c r="F190" s="13"/>
      <c r="G190" s="13"/>
      <c r="H190" s="13"/>
      <c r="I190" s="13">
        <v>209</v>
      </c>
      <c r="J190" s="13"/>
      <c r="K190" s="14"/>
      <c r="L190" s="5"/>
      <c r="M190" s="5"/>
    </row>
    <row r="191" spans="1:1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5"/>
      <c r="M191" s="5"/>
    </row>
    <row r="192" spans="1:13">
      <c r="A192" s="33" t="s">
        <v>170</v>
      </c>
      <c r="B192" s="32" t="s">
        <v>2094</v>
      </c>
      <c r="C192" s="32" t="s">
        <v>2621</v>
      </c>
      <c r="D192" s="32" t="s">
        <v>2094</v>
      </c>
      <c r="E192" s="32" t="s">
        <v>2096</v>
      </c>
      <c r="F192" s="32"/>
      <c r="G192" s="32" t="s">
        <v>2622</v>
      </c>
      <c r="H192" s="32"/>
      <c r="I192" s="32" t="s">
        <v>2623</v>
      </c>
      <c r="J192" s="30">
        <v>9265</v>
      </c>
      <c r="K192" s="32" t="s">
        <v>2097</v>
      </c>
      <c r="L192" s="5"/>
      <c r="M192" s="5"/>
    </row>
    <row r="193" spans="1:13">
      <c r="A193" s="30"/>
      <c r="B193" s="30">
        <v>16776</v>
      </c>
      <c r="C193" s="30">
        <v>11631</v>
      </c>
      <c r="D193" s="30">
        <v>3288</v>
      </c>
      <c r="E193" s="30">
        <v>487</v>
      </c>
      <c r="F193" s="30"/>
      <c r="G193" s="30">
        <v>494</v>
      </c>
      <c r="H193" s="30"/>
      <c r="I193" s="30">
        <v>471</v>
      </c>
      <c r="J193" s="30"/>
      <c r="K193" s="33"/>
      <c r="L193" s="5"/>
      <c r="M193" s="5"/>
    </row>
    <row r="194" spans="1:1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>
      <c r="A195" s="14" t="s">
        <v>5</v>
      </c>
      <c r="B195" s="12" t="s">
        <v>2624</v>
      </c>
      <c r="C195" s="12" t="s">
        <v>1870</v>
      </c>
      <c r="D195" s="12" t="s">
        <v>1870</v>
      </c>
      <c r="E195" s="12"/>
      <c r="F195" s="12"/>
      <c r="G195" s="12"/>
      <c r="H195" s="12"/>
      <c r="I195" s="12" t="s">
        <v>2841</v>
      </c>
      <c r="J195" s="13">
        <v>11301</v>
      </c>
      <c r="K195" s="12" t="s">
        <v>1871</v>
      </c>
      <c r="L195" s="5"/>
      <c r="M195" s="5"/>
    </row>
    <row r="196" spans="1:13">
      <c r="A196" s="13"/>
      <c r="B196" s="13">
        <v>10792</v>
      </c>
      <c r="C196" s="13">
        <v>20972</v>
      </c>
      <c r="D196" s="13">
        <v>3980</v>
      </c>
      <c r="E196" s="13"/>
      <c r="F196" s="13"/>
      <c r="G196" s="13"/>
      <c r="H196" s="13"/>
      <c r="I196" s="13">
        <v>477</v>
      </c>
      <c r="J196" s="13"/>
      <c r="K196" s="14"/>
      <c r="L196" s="5"/>
      <c r="M196" s="5"/>
    </row>
    <row r="197" spans="1:1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5"/>
      <c r="M197" s="5"/>
    </row>
    <row r="198" spans="1:13">
      <c r="A198" s="33" t="s">
        <v>8</v>
      </c>
      <c r="B198" s="32" t="s">
        <v>2099</v>
      </c>
      <c r="C198" s="32" t="s">
        <v>2363</v>
      </c>
      <c r="D198" s="32"/>
      <c r="E198" s="32"/>
      <c r="F198" s="32" t="s">
        <v>2099</v>
      </c>
      <c r="G198" s="32"/>
      <c r="H198" s="32"/>
      <c r="I198" s="32"/>
      <c r="J198" s="30">
        <v>6978</v>
      </c>
      <c r="K198" s="32" t="s">
        <v>836</v>
      </c>
      <c r="L198" s="5"/>
      <c r="M198" s="5"/>
    </row>
    <row r="199" spans="1:13">
      <c r="A199" s="30"/>
      <c r="B199" s="30">
        <v>17620</v>
      </c>
      <c r="C199" s="30">
        <v>3091</v>
      </c>
      <c r="D199" s="30"/>
      <c r="E199" s="30"/>
      <c r="F199" s="30">
        <v>1123</v>
      </c>
      <c r="G199" s="33"/>
      <c r="H199" s="33"/>
      <c r="I199" s="33"/>
      <c r="J199" s="30"/>
      <c r="K199" s="33"/>
      <c r="L199" s="5"/>
      <c r="M199" s="5"/>
    </row>
    <row r="200" spans="1:1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5"/>
      <c r="M200" s="5"/>
    </row>
    <row r="201" spans="1:13">
      <c r="A201" s="14" t="s">
        <v>14</v>
      </c>
      <c r="B201" s="12" t="s">
        <v>2100</v>
      </c>
      <c r="C201" s="12" t="s">
        <v>2625</v>
      </c>
      <c r="D201" s="12" t="s">
        <v>2625</v>
      </c>
      <c r="E201" s="12" t="s">
        <v>357</v>
      </c>
      <c r="F201" s="12" t="s">
        <v>2100</v>
      </c>
      <c r="G201" s="12" t="s">
        <v>2626</v>
      </c>
      <c r="H201" s="12"/>
      <c r="I201" s="12" t="s">
        <v>2840</v>
      </c>
      <c r="J201" s="13">
        <v>9222</v>
      </c>
      <c r="K201" s="12" t="s">
        <v>1696</v>
      </c>
      <c r="L201" s="5"/>
      <c r="M201" s="5"/>
    </row>
    <row r="202" spans="1:13">
      <c r="A202" s="13"/>
      <c r="B202" s="13">
        <v>27262</v>
      </c>
      <c r="C202" s="13">
        <v>5426</v>
      </c>
      <c r="D202" s="13">
        <v>416</v>
      </c>
      <c r="E202" s="13">
        <v>375</v>
      </c>
      <c r="F202" s="13">
        <v>1950</v>
      </c>
      <c r="G202" s="13">
        <v>376</v>
      </c>
      <c r="H202" s="13"/>
      <c r="I202" s="13">
        <v>156</v>
      </c>
      <c r="J202" s="13"/>
      <c r="K202" s="14"/>
      <c r="L202" s="5"/>
      <c r="M202" s="5"/>
    </row>
    <row r="203" spans="1:1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5"/>
      <c r="M203" s="5"/>
    </row>
    <row r="204" spans="1:13">
      <c r="A204" s="33" t="s">
        <v>23</v>
      </c>
      <c r="B204" s="32" t="s">
        <v>2101</v>
      </c>
      <c r="C204" s="32"/>
      <c r="D204" s="32"/>
      <c r="E204" s="32"/>
      <c r="F204" s="32" t="s">
        <v>2101</v>
      </c>
      <c r="G204" s="32"/>
      <c r="H204" s="32"/>
      <c r="I204" s="32"/>
      <c r="J204" s="30">
        <v>15023</v>
      </c>
      <c r="K204" s="32" t="s">
        <v>24</v>
      </c>
      <c r="L204" s="5"/>
      <c r="M204" s="5"/>
    </row>
    <row r="205" spans="1:13">
      <c r="A205" s="30"/>
      <c r="B205" s="30">
        <v>29223</v>
      </c>
      <c r="C205" s="30"/>
      <c r="D205" s="30"/>
      <c r="E205" s="30"/>
      <c r="F205" s="30">
        <v>2176</v>
      </c>
      <c r="G205" s="33"/>
      <c r="H205" s="33"/>
      <c r="I205" s="33"/>
      <c r="J205" s="30"/>
      <c r="K205" s="33"/>
      <c r="L205" s="5"/>
      <c r="M205" s="5"/>
    </row>
    <row r="206" spans="1:1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5"/>
      <c r="M206" s="5"/>
    </row>
    <row r="207" spans="1:13">
      <c r="A207" s="14" t="s">
        <v>29</v>
      </c>
      <c r="B207" s="12" t="s">
        <v>1511</v>
      </c>
      <c r="C207" s="12" t="s">
        <v>2627</v>
      </c>
      <c r="D207" s="12"/>
      <c r="E207" s="12" t="s">
        <v>350</v>
      </c>
      <c r="F207" s="12" t="s">
        <v>2627</v>
      </c>
      <c r="G207" s="12" t="s">
        <v>2628</v>
      </c>
      <c r="H207" s="12"/>
      <c r="I207" s="15" t="s">
        <v>2630</v>
      </c>
      <c r="J207" s="13">
        <v>7366</v>
      </c>
      <c r="K207" s="12" t="s">
        <v>2629</v>
      </c>
      <c r="L207" s="5"/>
      <c r="M207" s="5"/>
    </row>
    <row r="208" spans="1:13">
      <c r="A208" s="13"/>
      <c r="B208" s="13">
        <v>28271</v>
      </c>
      <c r="C208" s="13">
        <v>10882</v>
      </c>
      <c r="D208" s="13"/>
      <c r="E208" s="13">
        <v>416</v>
      </c>
      <c r="F208" s="13">
        <v>954</v>
      </c>
      <c r="G208" s="13">
        <v>314</v>
      </c>
      <c r="H208" s="13"/>
      <c r="I208" s="13">
        <v>148</v>
      </c>
      <c r="J208" s="13"/>
      <c r="K208" s="14"/>
      <c r="L208" s="5"/>
      <c r="M208" s="5"/>
    </row>
    <row r="209" spans="1:1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5"/>
      <c r="M209" s="5"/>
    </row>
    <row r="210" spans="1:13">
      <c r="A210" s="33" t="s">
        <v>36</v>
      </c>
      <c r="B210" s="32" t="s">
        <v>37</v>
      </c>
      <c r="C210" s="32" t="s">
        <v>2631</v>
      </c>
      <c r="D210" s="32"/>
      <c r="E210" s="32"/>
      <c r="F210" s="32" t="s">
        <v>37</v>
      </c>
      <c r="G210" s="32"/>
      <c r="H210" s="32"/>
      <c r="I210" s="32"/>
      <c r="J210" s="30">
        <v>8812</v>
      </c>
      <c r="K210" s="32" t="s">
        <v>38</v>
      </c>
      <c r="L210" s="5"/>
      <c r="M210" s="5"/>
    </row>
    <row r="211" spans="1:13">
      <c r="A211" s="30"/>
      <c r="B211" s="30">
        <v>34082</v>
      </c>
      <c r="C211" s="30">
        <v>5945</v>
      </c>
      <c r="D211" s="30"/>
      <c r="E211" s="30"/>
      <c r="F211" s="30">
        <v>3256</v>
      </c>
      <c r="G211" s="33"/>
      <c r="H211" s="33"/>
      <c r="I211" s="33"/>
      <c r="J211" s="30"/>
      <c r="K211" s="33"/>
      <c r="L211" s="5"/>
      <c r="M211" s="5"/>
    </row>
    <row r="212" spans="1:1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5"/>
      <c r="M212" s="5"/>
    </row>
    <row r="213" spans="1:13">
      <c r="A213" s="14" t="s">
        <v>46</v>
      </c>
      <c r="B213" s="12" t="s">
        <v>1686</v>
      </c>
      <c r="C213" s="12" t="s">
        <v>2632</v>
      </c>
      <c r="D213" s="12"/>
      <c r="E213" s="12"/>
      <c r="F213" s="12" t="s">
        <v>1686</v>
      </c>
      <c r="G213" s="12"/>
      <c r="H213" s="12"/>
      <c r="I213" s="12"/>
      <c r="J213" s="13">
        <v>9840</v>
      </c>
      <c r="K213" s="12" t="s">
        <v>2633</v>
      </c>
      <c r="L213" s="5"/>
      <c r="M213" s="5"/>
    </row>
    <row r="214" spans="1:13">
      <c r="A214" s="13"/>
      <c r="B214" s="13">
        <v>36077</v>
      </c>
      <c r="C214" s="13">
        <v>7263</v>
      </c>
      <c r="D214" s="13"/>
      <c r="E214" s="13"/>
      <c r="F214" s="13">
        <v>2216</v>
      </c>
      <c r="G214" s="14"/>
      <c r="H214" s="14"/>
      <c r="I214" s="14"/>
      <c r="J214" s="13"/>
      <c r="K214" s="14"/>
      <c r="L214" s="5"/>
      <c r="M214" s="5"/>
    </row>
    <row r="215" spans="1:1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5"/>
      <c r="M215" s="5"/>
    </row>
    <row r="216" spans="1:13">
      <c r="A216" s="33" t="s">
        <v>51</v>
      </c>
      <c r="B216" s="29" t="s">
        <v>2367</v>
      </c>
      <c r="C216" s="29" t="s">
        <v>2634</v>
      </c>
      <c r="D216" s="29"/>
      <c r="E216" s="29"/>
      <c r="F216" s="29" t="s">
        <v>2117</v>
      </c>
      <c r="G216" s="29"/>
      <c r="H216" s="29"/>
      <c r="I216" s="29"/>
      <c r="J216" s="30">
        <v>9509</v>
      </c>
      <c r="K216" s="29" t="s">
        <v>2635</v>
      </c>
      <c r="L216" s="5"/>
      <c r="M216" s="5"/>
    </row>
    <row r="217" spans="1:13">
      <c r="A217" s="30"/>
      <c r="B217" s="30">
        <v>21658</v>
      </c>
      <c r="C217" s="30">
        <v>1377</v>
      </c>
      <c r="D217" s="30"/>
      <c r="E217" s="30"/>
      <c r="F217" s="30">
        <v>3824</v>
      </c>
      <c r="G217" s="30"/>
      <c r="H217" s="30"/>
      <c r="I217" s="30"/>
      <c r="J217" s="30"/>
      <c r="K217" s="30"/>
      <c r="L217" s="5"/>
      <c r="M217" s="5"/>
    </row>
    <row r="218" spans="1:1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5"/>
      <c r="M218" s="5"/>
    </row>
    <row r="219" spans="1:13">
      <c r="A219" s="14" t="s">
        <v>58</v>
      </c>
      <c r="B219" s="12" t="s">
        <v>2107</v>
      </c>
      <c r="C219" s="12" t="s">
        <v>2636</v>
      </c>
      <c r="D219" s="12"/>
      <c r="E219" s="12" t="s">
        <v>2843</v>
      </c>
      <c r="F219" s="12"/>
      <c r="G219" s="12"/>
      <c r="H219" s="12"/>
      <c r="I219" s="15" t="s">
        <v>2637</v>
      </c>
      <c r="J219" s="13">
        <v>10423</v>
      </c>
      <c r="K219" s="12" t="s">
        <v>2108</v>
      </c>
      <c r="L219" s="5"/>
      <c r="M219" s="5"/>
    </row>
    <row r="220" spans="1:13">
      <c r="A220" s="13"/>
      <c r="B220" s="13">
        <v>31734</v>
      </c>
      <c r="C220" s="13">
        <v>3531</v>
      </c>
      <c r="D220" s="13"/>
      <c r="E220" s="13">
        <v>538</v>
      </c>
      <c r="F220" s="13"/>
      <c r="G220" s="13"/>
      <c r="H220" s="13"/>
      <c r="I220" s="13">
        <v>264</v>
      </c>
      <c r="J220" s="13"/>
      <c r="K220" s="14"/>
      <c r="L220" s="5"/>
      <c r="M220" s="5"/>
    </row>
    <row r="221" spans="1:1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5"/>
      <c r="M221" s="5"/>
    </row>
    <row r="222" spans="1:13">
      <c r="A222" s="33" t="s">
        <v>62</v>
      </c>
      <c r="B222" s="32" t="s">
        <v>839</v>
      </c>
      <c r="C222" s="32" t="s">
        <v>2638</v>
      </c>
      <c r="D222" s="32"/>
      <c r="E222" s="32"/>
      <c r="F222" s="32" t="s">
        <v>839</v>
      </c>
      <c r="G222" s="32"/>
      <c r="H222" s="32"/>
      <c r="I222" s="32"/>
      <c r="J222" s="30">
        <v>8437</v>
      </c>
      <c r="K222" s="32" t="s">
        <v>2639</v>
      </c>
      <c r="L222" s="5"/>
      <c r="M222" s="5"/>
    </row>
    <row r="223" spans="1:13">
      <c r="A223" s="30"/>
      <c r="B223" s="30">
        <v>25765</v>
      </c>
      <c r="C223" s="30">
        <v>545</v>
      </c>
      <c r="D223" s="30"/>
      <c r="E223" s="30"/>
      <c r="F223" s="30">
        <v>723</v>
      </c>
      <c r="G223" s="33"/>
      <c r="H223" s="33"/>
      <c r="I223" s="33"/>
      <c r="J223" s="30"/>
      <c r="K223" s="33"/>
      <c r="L223" s="5"/>
      <c r="M223" s="5"/>
    </row>
    <row r="224" spans="1:1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5"/>
      <c r="M224" s="5"/>
    </row>
    <row r="225" spans="1:13">
      <c r="A225" s="14" t="s">
        <v>67</v>
      </c>
      <c r="B225" s="12" t="s">
        <v>68</v>
      </c>
      <c r="C225" s="12" t="s">
        <v>2640</v>
      </c>
      <c r="D225" s="12" t="s">
        <v>2640</v>
      </c>
      <c r="E225" s="12" t="s">
        <v>2844</v>
      </c>
      <c r="F225" s="12"/>
      <c r="G225" s="12"/>
      <c r="H225" s="12"/>
      <c r="I225" s="12"/>
      <c r="J225" s="13">
        <v>9164</v>
      </c>
      <c r="K225" s="12" t="s">
        <v>69</v>
      </c>
      <c r="L225" s="5"/>
      <c r="M225" s="5"/>
    </row>
    <row r="226" spans="1:13">
      <c r="A226" s="13"/>
      <c r="B226" s="13">
        <v>23231</v>
      </c>
      <c r="C226" s="13">
        <v>1945</v>
      </c>
      <c r="D226" s="13">
        <v>223</v>
      </c>
      <c r="E226" s="13">
        <v>348</v>
      </c>
      <c r="F226" s="13"/>
      <c r="G226" s="13"/>
      <c r="H226" s="13"/>
      <c r="I226" s="13"/>
      <c r="J226" s="13"/>
      <c r="K226" s="14"/>
      <c r="L226" s="5"/>
      <c r="M226" s="5"/>
    </row>
    <row r="227" spans="1:1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5"/>
      <c r="M227" s="5"/>
    </row>
    <row r="228" spans="1:13">
      <c r="A228" s="33" t="s">
        <v>72</v>
      </c>
      <c r="B228" s="32" t="s">
        <v>1349</v>
      </c>
      <c r="C228" s="32" t="s">
        <v>2380</v>
      </c>
      <c r="D228" s="32"/>
      <c r="E228" s="32" t="s">
        <v>2845</v>
      </c>
      <c r="F228" s="32" t="s">
        <v>2641</v>
      </c>
      <c r="G228" s="32"/>
      <c r="H228" s="32"/>
      <c r="I228" s="29"/>
      <c r="J228" s="30">
        <v>5260</v>
      </c>
      <c r="K228" s="32" t="s">
        <v>1350</v>
      </c>
      <c r="L228" s="5"/>
      <c r="M228" s="5"/>
    </row>
    <row r="229" spans="1:13">
      <c r="A229" s="30"/>
      <c r="B229" s="30">
        <v>15098</v>
      </c>
      <c r="C229" s="30">
        <v>1174</v>
      </c>
      <c r="D229" s="30"/>
      <c r="E229" s="30">
        <v>150</v>
      </c>
      <c r="F229" s="30">
        <v>2256</v>
      </c>
      <c r="G229" s="30"/>
      <c r="H229" s="30"/>
      <c r="I229" s="30"/>
      <c r="J229" s="30"/>
      <c r="K229" s="33"/>
      <c r="L229" s="5"/>
      <c r="M229" s="5"/>
    </row>
    <row r="230" spans="1:1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5"/>
      <c r="M230" s="5"/>
    </row>
    <row r="231" spans="1:13">
      <c r="A231" s="14" t="s">
        <v>79</v>
      </c>
      <c r="B231" s="12" t="s">
        <v>2642</v>
      </c>
      <c r="C231" s="12" t="s">
        <v>2111</v>
      </c>
      <c r="D231" s="12"/>
      <c r="E231" s="12" t="s">
        <v>2111</v>
      </c>
      <c r="F231" s="12" t="s">
        <v>2111</v>
      </c>
      <c r="G231" s="12"/>
      <c r="H231" s="12" t="s">
        <v>2846</v>
      </c>
      <c r="I231" s="12" t="s">
        <v>2643</v>
      </c>
      <c r="J231" s="13">
        <v>5855</v>
      </c>
      <c r="K231" s="12" t="s">
        <v>2113</v>
      </c>
      <c r="L231" s="5"/>
      <c r="M231" s="5"/>
    </row>
    <row r="232" spans="1:13">
      <c r="A232" s="13"/>
      <c r="B232" s="13">
        <v>19763</v>
      </c>
      <c r="C232" s="13">
        <v>22226</v>
      </c>
      <c r="D232" s="13"/>
      <c r="E232" s="13">
        <v>562</v>
      </c>
      <c r="F232" s="13">
        <v>1584</v>
      </c>
      <c r="G232" s="13"/>
      <c r="H232" s="13">
        <v>305</v>
      </c>
      <c r="I232" s="13">
        <v>308</v>
      </c>
      <c r="J232" s="13"/>
      <c r="K232" s="14"/>
      <c r="L232" s="5"/>
      <c r="M232" s="5"/>
    </row>
    <row r="233" spans="1:1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5"/>
      <c r="M233" s="5"/>
    </row>
    <row r="234" spans="1:13">
      <c r="A234" s="33" t="s">
        <v>87</v>
      </c>
      <c r="B234" s="32" t="s">
        <v>2114</v>
      </c>
      <c r="C234" s="32"/>
      <c r="D234" s="32" t="s">
        <v>2116</v>
      </c>
      <c r="E234" s="32" t="s">
        <v>1702</v>
      </c>
      <c r="F234" s="32"/>
      <c r="G234" s="32"/>
      <c r="H234" s="32"/>
      <c r="I234" s="29"/>
      <c r="J234" s="30">
        <v>9492</v>
      </c>
      <c r="K234" s="32" t="s">
        <v>88</v>
      </c>
      <c r="L234" s="5"/>
      <c r="M234" s="5"/>
    </row>
    <row r="235" spans="1:13">
      <c r="A235" s="30"/>
      <c r="B235" s="30">
        <v>18275</v>
      </c>
      <c r="C235" s="30"/>
      <c r="D235" s="30">
        <v>198</v>
      </c>
      <c r="E235" s="30">
        <v>197</v>
      </c>
      <c r="F235" s="30"/>
      <c r="G235" s="30"/>
      <c r="H235" s="30"/>
      <c r="I235" s="30"/>
      <c r="J235" s="30"/>
      <c r="K235" s="30"/>
      <c r="L235" s="5"/>
      <c r="M235" s="5"/>
    </row>
    <row r="236" spans="1:1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5"/>
      <c r="M236" s="5"/>
    </row>
    <row r="237" spans="1:13">
      <c r="A237" s="14" t="s">
        <v>92</v>
      </c>
      <c r="B237" s="12" t="s">
        <v>2117</v>
      </c>
      <c r="C237" s="12" t="s">
        <v>2117</v>
      </c>
      <c r="D237" s="12" t="s">
        <v>2378</v>
      </c>
      <c r="E237" s="12" t="s">
        <v>2117</v>
      </c>
      <c r="F237" s="12" t="s">
        <v>2644</v>
      </c>
      <c r="G237" s="12"/>
      <c r="H237" s="12"/>
      <c r="I237" s="12"/>
      <c r="J237" s="13">
        <v>7447</v>
      </c>
      <c r="K237" s="12" t="s">
        <v>1369</v>
      </c>
      <c r="L237" s="5"/>
      <c r="M237" s="5"/>
    </row>
    <row r="238" spans="1:13">
      <c r="A238" s="13"/>
      <c r="B238" s="13">
        <v>13818</v>
      </c>
      <c r="C238" s="13">
        <v>635</v>
      </c>
      <c r="D238" s="13">
        <v>199</v>
      </c>
      <c r="E238" s="13">
        <v>0</v>
      </c>
      <c r="F238" s="13">
        <v>5043</v>
      </c>
      <c r="G238" s="14"/>
      <c r="H238" s="14"/>
      <c r="I238" s="12"/>
      <c r="J238" s="13"/>
      <c r="K238" s="13"/>
      <c r="L238" s="5"/>
      <c r="M238" s="5"/>
    </row>
    <row r="239" spans="1:13">
      <c r="A239" s="13"/>
      <c r="B239" s="14"/>
      <c r="C239" s="13"/>
      <c r="D239" s="13"/>
      <c r="E239" s="13"/>
      <c r="F239" s="13"/>
      <c r="G239" s="13"/>
      <c r="H239" s="13"/>
      <c r="I239" s="13"/>
      <c r="J239" s="13"/>
      <c r="K239" s="13"/>
      <c r="L239" s="5"/>
      <c r="M239" s="5"/>
    </row>
    <row r="240" spans="1:13">
      <c r="A240" s="33" t="s">
        <v>95</v>
      </c>
      <c r="B240" s="32" t="s">
        <v>1163</v>
      </c>
      <c r="C240" s="32" t="s">
        <v>2645</v>
      </c>
      <c r="D240" s="32" t="s">
        <v>2646</v>
      </c>
      <c r="E240" s="32"/>
      <c r="F240" s="32" t="s">
        <v>1163</v>
      </c>
      <c r="G240" s="32"/>
      <c r="H240" s="32"/>
      <c r="I240" s="32"/>
      <c r="J240" s="30">
        <v>8437</v>
      </c>
      <c r="K240" s="32" t="s">
        <v>1164</v>
      </c>
      <c r="L240" s="5"/>
      <c r="M240" s="5"/>
    </row>
    <row r="241" spans="1:13">
      <c r="A241" s="30"/>
      <c r="B241" s="29">
        <v>16896</v>
      </c>
      <c r="C241" s="29">
        <v>1474</v>
      </c>
      <c r="D241" s="29">
        <v>319</v>
      </c>
      <c r="E241" s="29"/>
      <c r="F241" s="29">
        <v>1333</v>
      </c>
      <c r="G241" s="30"/>
      <c r="H241" s="30"/>
      <c r="I241" s="30"/>
      <c r="J241" s="30"/>
      <c r="K241" s="33"/>
      <c r="L241" s="5"/>
      <c r="M241" s="5"/>
    </row>
    <row r="242" spans="1:13">
      <c r="A242" s="13"/>
      <c r="B242" s="14"/>
      <c r="C242" s="13"/>
      <c r="D242" s="13"/>
      <c r="E242" s="13"/>
      <c r="F242" s="13"/>
      <c r="G242" s="13"/>
      <c r="H242" s="13"/>
      <c r="I242" s="13"/>
      <c r="J242" s="13"/>
      <c r="K242" s="13"/>
      <c r="L242" s="5"/>
      <c r="M242" s="5"/>
    </row>
    <row r="243" spans="1:13">
      <c r="A243" s="14" t="s">
        <v>98</v>
      </c>
      <c r="B243" s="12" t="s">
        <v>1352</v>
      </c>
      <c r="C243" s="15" t="s">
        <v>2647</v>
      </c>
      <c r="D243" s="12" t="s">
        <v>2648</v>
      </c>
      <c r="E243" s="12"/>
      <c r="F243" s="12"/>
      <c r="G243" s="12"/>
      <c r="H243" s="12"/>
      <c r="I243" s="12"/>
      <c r="J243" s="13">
        <v>7844</v>
      </c>
      <c r="K243" s="12" t="s">
        <v>1354</v>
      </c>
      <c r="L243" s="5"/>
      <c r="M243" s="5"/>
    </row>
    <row r="244" spans="1:13">
      <c r="A244" s="13"/>
      <c r="B244" s="15">
        <v>17508</v>
      </c>
      <c r="C244" s="15">
        <v>438</v>
      </c>
      <c r="D244" s="15">
        <v>87</v>
      </c>
      <c r="E244" s="15"/>
      <c r="F244" s="13"/>
      <c r="G244" s="14"/>
      <c r="H244" s="14"/>
      <c r="I244" s="14"/>
      <c r="J244" s="13"/>
      <c r="K244" s="14"/>
      <c r="L244" s="5"/>
      <c r="M244" s="5"/>
    </row>
    <row r="245" spans="1:13">
      <c r="A245" s="13"/>
      <c r="B245" s="14"/>
      <c r="C245" s="13"/>
      <c r="D245" s="13"/>
      <c r="E245" s="13"/>
      <c r="F245" s="13"/>
      <c r="G245" s="13"/>
      <c r="H245" s="13"/>
      <c r="I245" s="13"/>
      <c r="J245" s="13"/>
      <c r="K245" s="13"/>
      <c r="L245" s="5"/>
      <c r="M245" s="5"/>
    </row>
    <row r="246" spans="1:13">
      <c r="A246" s="33" t="s">
        <v>103</v>
      </c>
      <c r="B246" s="32" t="s">
        <v>2380</v>
      </c>
      <c r="C246" s="32" t="s">
        <v>2649</v>
      </c>
      <c r="D246" s="32" t="s">
        <v>2649</v>
      </c>
      <c r="E246" s="32"/>
      <c r="F246" s="32" t="s">
        <v>2650</v>
      </c>
      <c r="G246" s="32"/>
      <c r="H246" s="32"/>
      <c r="I246" s="32"/>
      <c r="J246" s="30">
        <v>6400</v>
      </c>
      <c r="K246" s="32" t="s">
        <v>2381</v>
      </c>
      <c r="L246" s="5"/>
      <c r="M246" s="5"/>
    </row>
    <row r="247" spans="1:13">
      <c r="A247" s="30"/>
      <c r="B247" s="29">
        <v>14126</v>
      </c>
      <c r="C247" s="29">
        <v>575</v>
      </c>
      <c r="D247" s="29">
        <v>143</v>
      </c>
      <c r="E247" s="29"/>
      <c r="F247" s="29">
        <v>381</v>
      </c>
      <c r="G247" s="30"/>
      <c r="H247" s="30"/>
      <c r="I247" s="33"/>
      <c r="J247" s="30"/>
      <c r="K247" s="33"/>
      <c r="L247" s="5"/>
      <c r="M247" s="5"/>
    </row>
    <row r="248" spans="1:13">
      <c r="A248" s="13"/>
      <c r="B248" s="14"/>
      <c r="C248" s="13"/>
      <c r="D248" s="13"/>
      <c r="E248" s="13"/>
      <c r="F248" s="13"/>
      <c r="G248" s="13"/>
      <c r="H248" s="13"/>
      <c r="I248" s="13"/>
      <c r="J248" s="13"/>
      <c r="K248" s="13"/>
      <c r="L248" s="5"/>
      <c r="M248" s="5"/>
    </row>
    <row r="249" spans="1:13">
      <c r="A249" s="14" t="s">
        <v>109</v>
      </c>
      <c r="B249" s="12" t="s">
        <v>1884</v>
      </c>
      <c r="C249" s="12" t="s">
        <v>2120</v>
      </c>
      <c r="D249" s="12" t="s">
        <v>2651</v>
      </c>
      <c r="E249" s="12"/>
      <c r="F249" s="12" t="s">
        <v>1884</v>
      </c>
      <c r="G249" s="15"/>
      <c r="H249" s="15"/>
      <c r="I249" s="15"/>
      <c r="J249" s="13">
        <v>8837</v>
      </c>
      <c r="K249" s="12" t="s">
        <v>1886</v>
      </c>
      <c r="L249" s="5"/>
      <c r="M249" s="5"/>
    </row>
    <row r="250" spans="1:13">
      <c r="A250" s="13"/>
      <c r="B250" s="15">
        <v>18559</v>
      </c>
      <c r="C250" s="15">
        <v>631</v>
      </c>
      <c r="D250" s="15">
        <v>164</v>
      </c>
      <c r="E250" s="15"/>
      <c r="F250" s="15">
        <v>803</v>
      </c>
      <c r="G250" s="13"/>
      <c r="H250" s="13"/>
      <c r="I250" s="13"/>
      <c r="J250" s="13"/>
      <c r="K250" s="13"/>
      <c r="L250" s="5"/>
      <c r="M250" s="5"/>
    </row>
    <row r="251" spans="1:1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5"/>
      <c r="M251" s="5"/>
    </row>
    <row r="252" spans="1:13">
      <c r="A252" s="33" t="s">
        <v>113</v>
      </c>
      <c r="B252" s="32" t="s">
        <v>1887</v>
      </c>
      <c r="C252" s="32" t="s">
        <v>2652</v>
      </c>
      <c r="D252" s="29"/>
      <c r="E252" s="32" t="s">
        <v>1887</v>
      </c>
      <c r="F252" s="32" t="s">
        <v>1887</v>
      </c>
      <c r="G252" s="32" t="s">
        <v>2653</v>
      </c>
      <c r="H252" s="32"/>
      <c r="I252" s="29" t="s">
        <v>2654</v>
      </c>
      <c r="J252" s="30">
        <v>10611</v>
      </c>
      <c r="K252" s="32" t="s">
        <v>1889</v>
      </c>
      <c r="L252" s="5"/>
      <c r="M252" s="5"/>
    </row>
    <row r="253" spans="1:13">
      <c r="A253" s="30"/>
      <c r="B253" s="29">
        <v>17073</v>
      </c>
      <c r="C253" s="29">
        <v>945</v>
      </c>
      <c r="D253" s="30"/>
      <c r="E253" s="30">
        <v>703</v>
      </c>
      <c r="F253" s="29">
        <v>561</v>
      </c>
      <c r="G253" s="30">
        <v>563</v>
      </c>
      <c r="H253" s="30"/>
      <c r="I253" s="30">
        <v>265</v>
      </c>
      <c r="J253" s="30"/>
      <c r="K253" s="30"/>
      <c r="L253" s="5"/>
      <c r="M253" s="5"/>
    </row>
    <row r="254" spans="1:13">
      <c r="A254" s="30"/>
      <c r="B254" s="30"/>
      <c r="C254" s="30"/>
      <c r="D254" s="30"/>
      <c r="E254" s="30"/>
      <c r="F254" s="30"/>
      <c r="G254" s="30"/>
      <c r="H254" s="30"/>
      <c r="I254" s="29" t="s">
        <v>2655</v>
      </c>
      <c r="J254" s="30"/>
      <c r="K254" s="30"/>
      <c r="L254" s="5"/>
      <c r="M254" s="5"/>
    </row>
    <row r="255" spans="1:13">
      <c r="A255" s="30"/>
      <c r="B255" s="30"/>
      <c r="C255" s="30"/>
      <c r="D255" s="30"/>
      <c r="E255" s="30"/>
      <c r="F255" s="30"/>
      <c r="G255" s="30"/>
      <c r="H255" s="30"/>
      <c r="I255" s="30">
        <v>486</v>
      </c>
      <c r="J255" s="30"/>
      <c r="K255" s="30"/>
      <c r="L255" s="5"/>
      <c r="M255" s="5"/>
    </row>
    <row r="256" spans="1:1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5"/>
      <c r="M256" s="5"/>
    </row>
    <row r="257" spans="1:13">
      <c r="A257" s="14" t="s">
        <v>124</v>
      </c>
      <c r="B257" s="12" t="s">
        <v>125</v>
      </c>
      <c r="C257" s="12" t="s">
        <v>2656</v>
      </c>
      <c r="D257" s="15" t="s">
        <v>2657</v>
      </c>
      <c r="E257" s="15" t="s">
        <v>2847</v>
      </c>
      <c r="F257" s="12" t="s">
        <v>125</v>
      </c>
      <c r="G257" s="12" t="s">
        <v>2658</v>
      </c>
      <c r="H257" s="12"/>
      <c r="I257" s="12"/>
      <c r="J257" s="13">
        <v>8012</v>
      </c>
      <c r="K257" s="12" t="s">
        <v>126</v>
      </c>
      <c r="L257" s="5"/>
      <c r="M257" s="5"/>
    </row>
    <row r="258" spans="1:13">
      <c r="A258" s="13"/>
      <c r="B258" s="15">
        <v>21007</v>
      </c>
      <c r="C258" s="15">
        <v>4637</v>
      </c>
      <c r="D258" s="15">
        <v>1283</v>
      </c>
      <c r="E258" s="15">
        <v>438</v>
      </c>
      <c r="F258" s="15">
        <v>966</v>
      </c>
      <c r="G258" s="15">
        <v>654</v>
      </c>
      <c r="H258" s="15"/>
      <c r="I258" s="15"/>
      <c r="J258" s="13"/>
      <c r="K258" s="13"/>
      <c r="L258" s="5"/>
      <c r="M258" s="5"/>
    </row>
    <row r="259" spans="1:1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5"/>
      <c r="M259" s="5"/>
    </row>
    <row r="260" spans="1:13">
      <c r="A260" s="33" t="s">
        <v>130</v>
      </c>
      <c r="B260" s="32" t="s">
        <v>1890</v>
      </c>
      <c r="C260" s="32" t="s">
        <v>2659</v>
      </c>
      <c r="D260" s="32" t="s">
        <v>1890</v>
      </c>
      <c r="E260" s="32" t="s">
        <v>2659</v>
      </c>
      <c r="F260" s="32"/>
      <c r="G260" s="29"/>
      <c r="H260" s="29"/>
      <c r="I260" s="29" t="s">
        <v>2660</v>
      </c>
      <c r="J260" s="30">
        <v>6451</v>
      </c>
      <c r="K260" s="32" t="s">
        <v>1893</v>
      </c>
      <c r="L260" s="5"/>
      <c r="M260" s="5"/>
    </row>
    <row r="261" spans="1:13">
      <c r="A261" s="30"/>
      <c r="B261" s="29">
        <v>19415</v>
      </c>
      <c r="C261" s="29">
        <v>10114</v>
      </c>
      <c r="D261" s="29">
        <v>1775</v>
      </c>
      <c r="E261" s="29">
        <v>1513</v>
      </c>
      <c r="F261" s="30"/>
      <c r="G261" s="30"/>
      <c r="H261" s="30"/>
      <c r="I261" s="29">
        <v>892</v>
      </c>
      <c r="J261" s="30"/>
      <c r="K261" s="30"/>
      <c r="L261" s="5"/>
      <c r="M261" s="5"/>
    </row>
    <row r="262" spans="1:1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5"/>
      <c r="M262" s="5"/>
    </row>
    <row r="263" spans="1:13">
      <c r="A263" s="14" t="s">
        <v>136</v>
      </c>
      <c r="B263" s="12" t="s">
        <v>2388</v>
      </c>
      <c r="C263" s="12" t="s">
        <v>2638</v>
      </c>
      <c r="D263" s="15" t="s">
        <v>1670</v>
      </c>
      <c r="E263" s="15" t="s">
        <v>1535</v>
      </c>
      <c r="F263" s="12" t="s">
        <v>2388</v>
      </c>
      <c r="G263" s="12"/>
      <c r="H263" s="12"/>
      <c r="I263" s="15"/>
      <c r="J263" s="13">
        <v>9871</v>
      </c>
      <c r="K263" s="12" t="s">
        <v>2389</v>
      </c>
      <c r="L263" s="5"/>
      <c r="M263" s="5"/>
    </row>
    <row r="264" spans="1:13">
      <c r="A264" s="13"/>
      <c r="B264" s="15">
        <v>18650</v>
      </c>
      <c r="C264" s="15">
        <v>1408</v>
      </c>
      <c r="D264" s="15">
        <v>445</v>
      </c>
      <c r="E264" s="15">
        <v>306</v>
      </c>
      <c r="F264" s="15">
        <v>365</v>
      </c>
      <c r="G264" s="13"/>
      <c r="H264" s="13"/>
      <c r="I264" s="15"/>
      <c r="J264" s="13"/>
      <c r="K264" s="13"/>
      <c r="L264" s="5"/>
      <c r="M264" s="5"/>
    </row>
    <row r="265" spans="1:1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5"/>
      <c r="M265" s="5"/>
    </row>
    <row r="266" spans="1:13">
      <c r="A266" s="33" t="s">
        <v>140</v>
      </c>
      <c r="B266" s="29" t="s">
        <v>2126</v>
      </c>
      <c r="C266" s="32" t="s">
        <v>2661</v>
      </c>
      <c r="D266" s="29"/>
      <c r="E266" s="29" t="s">
        <v>2848</v>
      </c>
      <c r="F266" s="32"/>
      <c r="G266" s="32" t="s">
        <v>2662</v>
      </c>
      <c r="H266" s="32"/>
      <c r="I266" s="29"/>
      <c r="J266" s="30">
        <v>8794</v>
      </c>
      <c r="K266" s="32" t="s">
        <v>2127</v>
      </c>
      <c r="L266" s="5"/>
      <c r="M266" s="5"/>
    </row>
    <row r="267" spans="1:13">
      <c r="A267" s="30"/>
      <c r="B267" s="29">
        <v>20235</v>
      </c>
      <c r="C267" s="29">
        <v>1549</v>
      </c>
      <c r="D267" s="30"/>
      <c r="E267" s="30">
        <v>615</v>
      </c>
      <c r="F267" s="30"/>
      <c r="G267" s="29">
        <v>623</v>
      </c>
      <c r="H267" s="29"/>
      <c r="I267" s="29"/>
      <c r="J267" s="30"/>
      <c r="K267" s="30"/>
      <c r="L267" s="5"/>
      <c r="M267" s="5"/>
    </row>
    <row r="268" spans="1:1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5"/>
      <c r="M268" s="5"/>
    </row>
    <row r="269" spans="1:13">
      <c r="A269" s="14" t="s">
        <v>144</v>
      </c>
      <c r="B269" s="15" t="s">
        <v>2128</v>
      </c>
      <c r="C269" s="12"/>
      <c r="D269" s="15" t="s">
        <v>2128</v>
      </c>
      <c r="E269" s="15" t="s">
        <v>2849</v>
      </c>
      <c r="F269" s="15"/>
      <c r="G269" s="12" t="s">
        <v>2663</v>
      </c>
      <c r="H269" s="12"/>
      <c r="I269" s="15"/>
      <c r="J269" s="13">
        <v>17017</v>
      </c>
      <c r="K269" s="12" t="s">
        <v>1903</v>
      </c>
      <c r="L269" s="5"/>
      <c r="M269" s="5"/>
    </row>
    <row r="270" spans="1:13">
      <c r="A270" s="13"/>
      <c r="B270" s="15">
        <v>28618</v>
      </c>
      <c r="C270" s="13"/>
      <c r="D270" s="15">
        <v>3827</v>
      </c>
      <c r="E270" s="15">
        <v>1234</v>
      </c>
      <c r="F270" s="13"/>
      <c r="G270" s="15">
        <v>899</v>
      </c>
      <c r="H270" s="15"/>
      <c r="I270" s="13"/>
      <c r="J270" s="13"/>
      <c r="K270" s="13"/>
      <c r="L270" s="5"/>
      <c r="M270" s="5"/>
    </row>
    <row r="271" spans="1:1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5"/>
      <c r="M271" s="5"/>
    </row>
    <row r="272" spans="1:13">
      <c r="A272" s="33" t="s">
        <v>148</v>
      </c>
      <c r="B272" s="29" t="s">
        <v>2129</v>
      </c>
      <c r="C272" s="32"/>
      <c r="D272" s="29"/>
      <c r="E272" s="29" t="s">
        <v>1234</v>
      </c>
      <c r="F272" s="29"/>
      <c r="G272" s="32" t="s">
        <v>2664</v>
      </c>
      <c r="H272" s="32"/>
      <c r="I272" s="29"/>
      <c r="J272" s="30">
        <v>20710</v>
      </c>
      <c r="K272" s="32" t="s">
        <v>1377</v>
      </c>
      <c r="L272" s="5"/>
      <c r="M272" s="5"/>
    </row>
    <row r="273" spans="1:13">
      <c r="A273" s="30"/>
      <c r="B273" s="29">
        <v>30734</v>
      </c>
      <c r="C273" s="30"/>
      <c r="D273" s="30"/>
      <c r="E273" s="30">
        <v>2227</v>
      </c>
      <c r="F273" s="30"/>
      <c r="G273" s="29">
        <v>1595</v>
      </c>
      <c r="H273" s="29"/>
      <c r="I273" s="30"/>
      <c r="J273" s="30"/>
      <c r="K273" s="30"/>
      <c r="L273" s="5"/>
      <c r="M273" s="5"/>
    </row>
    <row r="274" spans="1:1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5"/>
      <c r="M274" s="5"/>
    </row>
    <row r="275" spans="1:13">
      <c r="A275" s="14" t="s">
        <v>153</v>
      </c>
      <c r="B275" s="15" t="s">
        <v>2665</v>
      </c>
      <c r="C275" s="12" t="s">
        <v>2131</v>
      </c>
      <c r="D275" s="12" t="s">
        <v>2131</v>
      </c>
      <c r="E275" s="12" t="s">
        <v>2850</v>
      </c>
      <c r="F275" s="15"/>
      <c r="G275" s="12" t="s">
        <v>2666</v>
      </c>
      <c r="H275" s="12"/>
      <c r="I275" s="15" t="s">
        <v>2667</v>
      </c>
      <c r="J275" s="13">
        <v>5675</v>
      </c>
      <c r="K275" s="12" t="s">
        <v>2132</v>
      </c>
      <c r="L275" s="5"/>
      <c r="M275" s="5"/>
    </row>
    <row r="276" spans="1:13">
      <c r="A276" s="13"/>
      <c r="B276" s="15">
        <v>14413</v>
      </c>
      <c r="C276" s="15">
        <v>21027</v>
      </c>
      <c r="D276" s="15">
        <v>3878</v>
      </c>
      <c r="E276" s="15">
        <v>1081</v>
      </c>
      <c r="F276" s="13"/>
      <c r="G276" s="15">
        <v>1423</v>
      </c>
      <c r="H276" s="15"/>
      <c r="I276" s="13">
        <v>490</v>
      </c>
      <c r="J276" s="13"/>
      <c r="K276" s="13"/>
      <c r="L276" s="5"/>
      <c r="M276" s="5"/>
    </row>
    <row r="277" spans="1:1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5"/>
      <c r="M277" s="5"/>
    </row>
    <row r="278" spans="1:13">
      <c r="A278" s="33" t="s">
        <v>161</v>
      </c>
      <c r="B278" s="29" t="s">
        <v>2393</v>
      </c>
      <c r="C278" s="32" t="s">
        <v>2668</v>
      </c>
      <c r="D278" s="32" t="s">
        <v>2668</v>
      </c>
      <c r="E278" s="32" t="s">
        <v>2394</v>
      </c>
      <c r="F278" s="29"/>
      <c r="G278" s="32" t="s">
        <v>2394</v>
      </c>
      <c r="H278" s="32"/>
      <c r="I278" s="29"/>
      <c r="J278" s="30">
        <v>5062</v>
      </c>
      <c r="K278" s="32" t="s">
        <v>2395</v>
      </c>
      <c r="L278" s="5"/>
      <c r="M278" s="5"/>
    </row>
    <row r="279" spans="1:13">
      <c r="A279" s="30"/>
      <c r="B279" s="29">
        <v>27679</v>
      </c>
      <c r="C279" s="29">
        <v>16990</v>
      </c>
      <c r="D279" s="29">
        <v>1997</v>
      </c>
      <c r="E279" s="29">
        <v>602</v>
      </c>
      <c r="F279" s="30"/>
      <c r="G279" s="30">
        <v>714</v>
      </c>
      <c r="H279" s="30"/>
      <c r="I279" s="30"/>
      <c r="J279" s="30"/>
      <c r="K279" s="30"/>
      <c r="L279" s="5"/>
      <c r="M279" s="5"/>
    </row>
    <row r="280" spans="1:1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5"/>
      <c r="M280" s="5"/>
    </row>
    <row r="281" spans="1:13">
      <c r="A281" s="14" t="s">
        <v>167</v>
      </c>
      <c r="B281" s="15" t="s">
        <v>2135</v>
      </c>
      <c r="C281" s="15" t="s">
        <v>2669</v>
      </c>
      <c r="D281" s="15" t="s">
        <v>2669</v>
      </c>
      <c r="E281" s="15" t="s">
        <v>2137</v>
      </c>
      <c r="F281" s="15"/>
      <c r="G281" s="12" t="s">
        <v>2670</v>
      </c>
      <c r="H281" s="12"/>
      <c r="I281" s="15" t="s">
        <v>2671</v>
      </c>
      <c r="J281" s="13">
        <v>5791</v>
      </c>
      <c r="K281" s="12" t="s">
        <v>2138</v>
      </c>
      <c r="L281" s="5"/>
      <c r="M281" s="5"/>
    </row>
    <row r="282" spans="1:13">
      <c r="A282" s="13"/>
      <c r="B282" s="15">
        <v>27921</v>
      </c>
      <c r="C282" s="15">
        <v>20170</v>
      </c>
      <c r="D282" s="15">
        <v>2345</v>
      </c>
      <c r="E282" s="15">
        <v>1507</v>
      </c>
      <c r="F282" s="13"/>
      <c r="G282" s="15">
        <v>1226</v>
      </c>
      <c r="H282" s="15"/>
      <c r="I282" s="13">
        <v>216</v>
      </c>
      <c r="J282" s="13"/>
      <c r="K282" s="13"/>
      <c r="L282" s="5"/>
      <c r="M282" s="5"/>
    </row>
    <row r="283" spans="1:1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5"/>
      <c r="M283" s="5"/>
    </row>
    <row r="284" spans="1:13">
      <c r="A284" s="33" t="s">
        <v>172</v>
      </c>
      <c r="B284" s="29" t="s">
        <v>1706</v>
      </c>
      <c r="C284" s="32" t="s">
        <v>2672</v>
      </c>
      <c r="D284" s="32" t="s">
        <v>2672</v>
      </c>
      <c r="E284" s="32" t="s">
        <v>230</v>
      </c>
      <c r="F284" s="29"/>
      <c r="G284" s="32" t="s">
        <v>2672</v>
      </c>
      <c r="H284" s="32"/>
      <c r="I284" s="29" t="s">
        <v>2673</v>
      </c>
      <c r="J284" s="30">
        <v>4710</v>
      </c>
      <c r="K284" s="32" t="s">
        <v>173</v>
      </c>
      <c r="L284" s="5"/>
      <c r="M284" s="5"/>
    </row>
    <row r="285" spans="1:13">
      <c r="A285" s="30"/>
      <c r="B285" s="29">
        <v>28314</v>
      </c>
      <c r="C285" s="29">
        <v>13787</v>
      </c>
      <c r="D285" s="29">
        <v>2159</v>
      </c>
      <c r="E285" s="29">
        <v>1813</v>
      </c>
      <c r="F285" s="30"/>
      <c r="G285" s="29">
        <v>1310</v>
      </c>
      <c r="H285" s="29"/>
      <c r="I285" s="30">
        <v>192</v>
      </c>
      <c r="J285" s="30"/>
      <c r="K285" s="30"/>
      <c r="L285" s="5"/>
      <c r="M285" s="5"/>
    </row>
    <row r="286" spans="1:1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5"/>
      <c r="M286" s="5"/>
    </row>
    <row r="287" spans="1:13">
      <c r="A287" s="14" t="s">
        <v>177</v>
      </c>
      <c r="B287" s="15"/>
      <c r="C287" s="12" t="s">
        <v>2140</v>
      </c>
      <c r="D287" s="12" t="s">
        <v>2140</v>
      </c>
      <c r="E287" s="12" t="s">
        <v>2140</v>
      </c>
      <c r="F287" s="15"/>
      <c r="G287" s="12"/>
      <c r="H287" s="12"/>
      <c r="I287" s="15" t="s">
        <v>2674</v>
      </c>
      <c r="J287" s="13">
        <v>20698</v>
      </c>
      <c r="K287" s="12" t="s">
        <v>1717</v>
      </c>
      <c r="L287" s="5"/>
      <c r="M287" s="5"/>
    </row>
    <row r="288" spans="1:13">
      <c r="A288" s="13"/>
      <c r="B288" s="13"/>
      <c r="C288" s="14">
        <v>21576</v>
      </c>
      <c r="D288" s="13">
        <v>3996</v>
      </c>
      <c r="E288" s="13">
        <v>1155</v>
      </c>
      <c r="F288" s="13"/>
      <c r="G288" s="14"/>
      <c r="H288" s="14"/>
      <c r="I288" s="13">
        <v>621</v>
      </c>
      <c r="J288" s="13"/>
      <c r="K288" s="13"/>
      <c r="L288" s="5"/>
      <c r="M288" s="5"/>
    </row>
    <row r="289" spans="1:1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>
      <c r="A290" s="33" t="s">
        <v>6</v>
      </c>
      <c r="B290" s="29" t="s">
        <v>2141</v>
      </c>
      <c r="C290" s="32" t="s">
        <v>2675</v>
      </c>
      <c r="D290" s="29" t="s">
        <v>2141</v>
      </c>
      <c r="E290" s="29" t="s">
        <v>2141</v>
      </c>
      <c r="F290" s="29"/>
      <c r="G290" s="29" t="s">
        <v>2631</v>
      </c>
      <c r="H290" s="29"/>
      <c r="I290" s="29" t="s">
        <v>2676</v>
      </c>
      <c r="J290" s="30">
        <v>6016</v>
      </c>
      <c r="K290" s="32" t="s">
        <v>1908</v>
      </c>
      <c r="L290" s="5"/>
      <c r="M290" s="5"/>
    </row>
    <row r="291" spans="1:13">
      <c r="A291" s="30"/>
      <c r="B291" s="30">
        <v>27148</v>
      </c>
      <c r="C291" s="30">
        <v>13700</v>
      </c>
      <c r="D291" s="30">
        <v>3964</v>
      </c>
      <c r="E291" s="30">
        <v>1443</v>
      </c>
      <c r="F291" s="30"/>
      <c r="G291" s="30">
        <v>1525</v>
      </c>
      <c r="H291" s="30"/>
      <c r="I291" s="30">
        <v>418</v>
      </c>
      <c r="J291" s="30"/>
      <c r="K291" s="30"/>
      <c r="L291" s="5"/>
      <c r="M291" s="5"/>
    </row>
    <row r="292" spans="1:1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5"/>
      <c r="M292" s="5"/>
    </row>
    <row r="293" spans="1:13">
      <c r="A293" s="14" t="s">
        <v>13</v>
      </c>
      <c r="B293" s="15" t="s">
        <v>2142</v>
      </c>
      <c r="C293" s="15" t="s">
        <v>2677</v>
      </c>
      <c r="D293" s="15" t="s">
        <v>2677</v>
      </c>
      <c r="E293" s="15" t="s">
        <v>2142</v>
      </c>
      <c r="F293" s="15"/>
      <c r="G293" s="15" t="s">
        <v>2678</v>
      </c>
      <c r="H293" s="15"/>
      <c r="I293" s="15" t="s">
        <v>2679</v>
      </c>
      <c r="J293" s="13">
        <v>5515</v>
      </c>
      <c r="K293" s="12" t="s">
        <v>2145</v>
      </c>
      <c r="L293" s="5"/>
      <c r="M293" s="5"/>
    </row>
    <row r="294" spans="1:13">
      <c r="A294" s="13"/>
      <c r="B294" s="13">
        <v>26687</v>
      </c>
      <c r="C294" s="13">
        <v>12675</v>
      </c>
      <c r="D294" s="13">
        <v>1813</v>
      </c>
      <c r="E294" s="13">
        <v>1752</v>
      </c>
      <c r="F294" s="13"/>
      <c r="G294" s="13">
        <v>1230</v>
      </c>
      <c r="H294" s="13"/>
      <c r="I294" s="13">
        <v>267</v>
      </c>
      <c r="J294" s="13"/>
      <c r="K294" s="13"/>
      <c r="L294" s="5"/>
      <c r="M294" s="5"/>
    </row>
    <row r="295" spans="1:1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5"/>
      <c r="M295" s="5"/>
    </row>
    <row r="296" spans="1:13">
      <c r="A296" s="33" t="s">
        <v>22</v>
      </c>
      <c r="B296" s="29" t="s">
        <v>2680</v>
      </c>
      <c r="C296" s="32" t="s">
        <v>2147</v>
      </c>
      <c r="D296" s="32" t="s">
        <v>2147</v>
      </c>
      <c r="E296" s="32"/>
      <c r="F296" s="29"/>
      <c r="G296" s="32" t="s">
        <v>2401</v>
      </c>
      <c r="H296" s="32"/>
      <c r="I296" s="29" t="s">
        <v>2681</v>
      </c>
      <c r="J296" s="30">
        <v>6896</v>
      </c>
      <c r="K296" s="32" t="s">
        <v>1190</v>
      </c>
      <c r="L296" s="5"/>
      <c r="M296" s="5"/>
    </row>
    <row r="297" spans="1:13">
      <c r="A297" s="30"/>
      <c r="B297" s="30">
        <v>12442</v>
      </c>
      <c r="C297" s="30">
        <v>23373</v>
      </c>
      <c r="D297" s="30">
        <v>3547</v>
      </c>
      <c r="E297" s="30"/>
      <c r="F297" s="30"/>
      <c r="G297" s="30">
        <v>1522</v>
      </c>
      <c r="H297" s="30"/>
      <c r="I297" s="30">
        <v>783</v>
      </c>
      <c r="J297" s="30"/>
      <c r="K297" s="30"/>
      <c r="L297" s="5"/>
      <c r="M297" s="5"/>
    </row>
    <row r="298" spans="1:1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5"/>
      <c r="M298" s="5"/>
    </row>
    <row r="299" spans="1:13">
      <c r="A299" s="14" t="s">
        <v>28</v>
      </c>
      <c r="B299" s="15"/>
      <c r="C299" s="12" t="s">
        <v>2682</v>
      </c>
      <c r="D299" s="12" t="s">
        <v>2682</v>
      </c>
      <c r="E299" s="12"/>
      <c r="F299" s="15"/>
      <c r="G299" s="15" t="s">
        <v>2683</v>
      </c>
      <c r="H299" s="15"/>
      <c r="I299" s="15"/>
      <c r="J299" s="13">
        <v>18212</v>
      </c>
      <c r="K299" s="12" t="s">
        <v>2684</v>
      </c>
      <c r="L299" s="5"/>
      <c r="M299" s="5"/>
    </row>
    <row r="300" spans="1:13">
      <c r="A300" s="13"/>
      <c r="B300" s="13"/>
      <c r="C300" s="13">
        <v>24428</v>
      </c>
      <c r="D300" s="13">
        <v>4066</v>
      </c>
      <c r="E300" s="13"/>
      <c r="F300" s="13"/>
      <c r="G300" s="13">
        <v>2611</v>
      </c>
      <c r="H300" s="13"/>
      <c r="I300" s="13"/>
      <c r="J300" s="13"/>
      <c r="K300" s="13"/>
      <c r="L300" s="5"/>
      <c r="M300" s="5"/>
    </row>
    <row r="301" spans="1:1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5"/>
      <c r="M301" s="5"/>
    </row>
    <row r="302" spans="1:13">
      <c r="A302" s="33" t="s">
        <v>32</v>
      </c>
      <c r="B302" s="29" t="s">
        <v>2685</v>
      </c>
      <c r="C302" s="32" t="s">
        <v>2151</v>
      </c>
      <c r="D302" s="32" t="s">
        <v>2151</v>
      </c>
      <c r="E302" s="32" t="s">
        <v>2851</v>
      </c>
      <c r="F302" s="29"/>
      <c r="G302" s="32"/>
      <c r="H302" s="32"/>
      <c r="I302" s="29"/>
      <c r="J302" s="30">
        <v>3991</v>
      </c>
      <c r="K302" s="32" t="s">
        <v>1196</v>
      </c>
      <c r="L302" s="5"/>
      <c r="M302" s="5"/>
    </row>
    <row r="303" spans="1:13">
      <c r="A303" s="30"/>
      <c r="B303" s="30">
        <v>17889</v>
      </c>
      <c r="C303" s="30">
        <v>16392</v>
      </c>
      <c r="D303" s="30">
        <v>2488</v>
      </c>
      <c r="E303" s="30">
        <v>846</v>
      </c>
      <c r="F303" s="30"/>
      <c r="G303" s="33"/>
      <c r="H303" s="33"/>
      <c r="I303" s="30"/>
      <c r="J303" s="30"/>
      <c r="K303" s="30" t="s">
        <v>33</v>
      </c>
      <c r="L303" s="5"/>
      <c r="M303" s="5"/>
    </row>
    <row r="304" spans="1:1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5"/>
      <c r="M304" s="5"/>
    </row>
    <row r="305" spans="1:13">
      <c r="A305" s="14" t="s">
        <v>39</v>
      </c>
      <c r="B305" s="15" t="s">
        <v>2686</v>
      </c>
      <c r="C305" s="12" t="s">
        <v>2153</v>
      </c>
      <c r="D305" s="12" t="s">
        <v>2153</v>
      </c>
      <c r="E305" s="12" t="s">
        <v>2153</v>
      </c>
      <c r="F305" s="15"/>
      <c r="G305" s="15"/>
      <c r="H305" s="15"/>
      <c r="I305" s="15" t="s">
        <v>2687</v>
      </c>
      <c r="J305" s="13">
        <v>5055</v>
      </c>
      <c r="K305" s="12" t="s">
        <v>1199</v>
      </c>
      <c r="L305" s="5"/>
      <c r="M305" s="5"/>
    </row>
    <row r="306" spans="1:13">
      <c r="A306" s="13"/>
      <c r="B306" s="13">
        <v>20597</v>
      </c>
      <c r="C306" s="13">
        <v>19791</v>
      </c>
      <c r="D306" s="13">
        <v>2933</v>
      </c>
      <c r="E306" s="13">
        <v>1577</v>
      </c>
      <c r="F306" s="13"/>
      <c r="G306" s="13"/>
      <c r="H306" s="13"/>
      <c r="I306" s="13">
        <v>364</v>
      </c>
      <c r="J306" s="13"/>
      <c r="K306" s="13"/>
      <c r="L306" s="5"/>
      <c r="M306" s="5"/>
    </row>
    <row r="307" spans="1:1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5"/>
      <c r="M307" s="5"/>
    </row>
    <row r="308" spans="1:13">
      <c r="A308" s="33" t="s">
        <v>48</v>
      </c>
      <c r="B308" s="29" t="s">
        <v>1912</v>
      </c>
      <c r="C308" s="32"/>
      <c r="D308" s="29" t="s">
        <v>1912</v>
      </c>
      <c r="E308" s="29"/>
      <c r="F308" s="29"/>
      <c r="G308" s="32" t="s">
        <v>2404</v>
      </c>
      <c r="H308" s="32"/>
      <c r="I308" s="29"/>
      <c r="J308" s="30">
        <v>18654</v>
      </c>
      <c r="K308" s="32" t="s">
        <v>1915</v>
      </c>
      <c r="L308" s="5"/>
      <c r="M308" s="5"/>
    </row>
    <row r="309" spans="1:13">
      <c r="A309" s="30"/>
      <c r="B309" s="30">
        <v>23128</v>
      </c>
      <c r="C309" s="30"/>
      <c r="D309" s="30">
        <v>4319</v>
      </c>
      <c r="E309" s="30"/>
      <c r="F309" s="30"/>
      <c r="G309" s="30">
        <v>1532</v>
      </c>
      <c r="H309" s="30"/>
      <c r="I309" s="30"/>
      <c r="J309" s="30"/>
      <c r="K309" s="30"/>
      <c r="L309" s="5"/>
      <c r="M309" s="5"/>
    </row>
    <row r="310" spans="1:1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5"/>
      <c r="M310" s="5"/>
    </row>
    <row r="311" spans="1:13">
      <c r="A311" s="14" t="s">
        <v>56</v>
      </c>
      <c r="B311" s="15"/>
      <c r="C311" s="12" t="s">
        <v>2156</v>
      </c>
      <c r="D311" s="15" t="s">
        <v>2688</v>
      </c>
      <c r="E311" s="15"/>
      <c r="F311" s="15"/>
      <c r="G311" s="15"/>
      <c r="H311" s="15"/>
      <c r="I311" s="15" t="s">
        <v>2689</v>
      </c>
      <c r="J311" s="13">
        <v>19404</v>
      </c>
      <c r="K311" s="12" t="s">
        <v>1721</v>
      </c>
      <c r="L311" s="5"/>
      <c r="M311" s="5"/>
    </row>
    <row r="312" spans="1:13">
      <c r="A312" s="13"/>
      <c r="B312" s="13"/>
      <c r="C312" s="13">
        <v>25663</v>
      </c>
      <c r="D312" s="13">
        <v>7332</v>
      </c>
      <c r="E312" s="13"/>
      <c r="F312" s="13"/>
      <c r="G312" s="13"/>
      <c r="H312" s="13"/>
      <c r="I312" s="13">
        <v>1326</v>
      </c>
      <c r="J312" s="13"/>
      <c r="K312" s="13"/>
      <c r="L312" s="5"/>
      <c r="M312" s="5"/>
    </row>
    <row r="313" spans="1: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5"/>
      <c r="M313" s="5"/>
    </row>
    <row r="314" spans="1:13">
      <c r="A314" s="33" t="s">
        <v>1384</v>
      </c>
      <c r="B314" s="29" t="s">
        <v>2690</v>
      </c>
      <c r="C314" s="32" t="s">
        <v>2158</v>
      </c>
      <c r="D314" s="32" t="s">
        <v>2158</v>
      </c>
      <c r="E314" s="32"/>
      <c r="F314" s="29"/>
      <c r="G314" s="32"/>
      <c r="H314" s="32"/>
      <c r="I314" s="29" t="s">
        <v>2691</v>
      </c>
      <c r="J314" s="30">
        <v>5295</v>
      </c>
      <c r="K314" s="32" t="s">
        <v>2159</v>
      </c>
      <c r="L314" s="5"/>
      <c r="M314" s="5"/>
    </row>
    <row r="315" spans="1:13">
      <c r="A315" s="30"/>
      <c r="B315" s="30">
        <v>17038</v>
      </c>
      <c r="C315" s="30">
        <v>23985</v>
      </c>
      <c r="D315" s="30">
        <v>3176</v>
      </c>
      <c r="E315" s="30"/>
      <c r="F315" s="30"/>
      <c r="G315" s="33"/>
      <c r="H315" s="33"/>
      <c r="I315" s="30">
        <v>841</v>
      </c>
      <c r="J315" s="30"/>
      <c r="K315" s="30"/>
      <c r="L315" s="5"/>
      <c r="M315" s="5"/>
    </row>
    <row r="316" spans="1:1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5"/>
      <c r="M316" s="5"/>
    </row>
    <row r="317" spans="1:13">
      <c r="A317" s="14" t="s">
        <v>63</v>
      </c>
      <c r="B317" s="15" t="s">
        <v>2692</v>
      </c>
      <c r="C317" s="15" t="s">
        <v>2693</v>
      </c>
      <c r="D317" s="15" t="s">
        <v>2694</v>
      </c>
      <c r="E317" s="15" t="s">
        <v>2692</v>
      </c>
      <c r="F317" s="15"/>
      <c r="G317" s="15" t="s">
        <v>2694</v>
      </c>
      <c r="H317" s="15"/>
      <c r="I317" s="15"/>
      <c r="J317" s="13">
        <v>4025</v>
      </c>
      <c r="K317" s="12" t="s">
        <v>2407</v>
      </c>
      <c r="L317" s="5"/>
      <c r="M317" s="5"/>
    </row>
    <row r="318" spans="1:13">
      <c r="A318" s="13"/>
      <c r="B318" s="13">
        <v>21732</v>
      </c>
      <c r="C318" s="13">
        <v>22937</v>
      </c>
      <c r="D318" s="13">
        <v>4001</v>
      </c>
      <c r="E318" s="13">
        <v>2252</v>
      </c>
      <c r="F318" s="13"/>
      <c r="G318" s="13">
        <v>652</v>
      </c>
      <c r="H318" s="13"/>
      <c r="I318" s="13"/>
      <c r="J318" s="13"/>
      <c r="K318" s="13"/>
      <c r="L318" s="5"/>
      <c r="M318" s="5"/>
    </row>
    <row r="319" spans="1:13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5"/>
      <c r="M319" s="5"/>
    </row>
    <row r="320" spans="1:13">
      <c r="A320" s="33" t="s">
        <v>70</v>
      </c>
      <c r="B320" s="29" t="s">
        <v>2695</v>
      </c>
      <c r="C320" s="32" t="s">
        <v>2162</v>
      </c>
      <c r="D320" s="32" t="s">
        <v>2162</v>
      </c>
      <c r="E320" s="29" t="s">
        <v>2696</v>
      </c>
      <c r="F320" s="29" t="s">
        <v>2696</v>
      </c>
      <c r="G320" s="29"/>
      <c r="H320" s="29"/>
      <c r="I320" s="29" t="s">
        <v>2697</v>
      </c>
      <c r="J320" s="30">
        <v>5735</v>
      </c>
      <c r="K320" s="32" t="s">
        <v>2164</v>
      </c>
      <c r="L320" s="5"/>
      <c r="M320" s="5"/>
    </row>
    <row r="321" spans="1:13">
      <c r="A321" s="30"/>
      <c r="B321" s="30">
        <v>19510</v>
      </c>
      <c r="C321" s="30">
        <v>26456</v>
      </c>
      <c r="D321" s="30">
        <v>3456</v>
      </c>
      <c r="E321" s="30">
        <v>1914</v>
      </c>
      <c r="F321" s="30">
        <v>831</v>
      </c>
      <c r="G321" s="30"/>
      <c r="H321" s="30"/>
      <c r="I321" s="30">
        <v>562</v>
      </c>
      <c r="J321" s="30"/>
      <c r="K321" s="30"/>
      <c r="L321" s="5"/>
      <c r="M321" s="5"/>
    </row>
    <row r="322" spans="1:13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5"/>
      <c r="M322" s="5"/>
    </row>
    <row r="323" spans="1:13">
      <c r="A323" s="14" t="s">
        <v>78</v>
      </c>
      <c r="B323" s="15" t="s">
        <v>2698</v>
      </c>
      <c r="C323" s="12" t="s">
        <v>2166</v>
      </c>
      <c r="D323" s="12" t="s">
        <v>2166</v>
      </c>
      <c r="E323" s="12" t="s">
        <v>2166</v>
      </c>
      <c r="F323" s="15" t="s">
        <v>2698</v>
      </c>
      <c r="G323" s="15"/>
      <c r="H323" s="15"/>
      <c r="I323" s="15" t="s">
        <v>2699</v>
      </c>
      <c r="J323" s="13">
        <v>4757</v>
      </c>
      <c r="K323" s="12" t="s">
        <v>880</v>
      </c>
      <c r="L323" s="5"/>
      <c r="M323" s="5"/>
    </row>
    <row r="324" spans="1:13">
      <c r="A324" s="13"/>
      <c r="B324" s="13">
        <v>13968</v>
      </c>
      <c r="C324" s="13">
        <v>28990</v>
      </c>
      <c r="D324" s="13">
        <v>3227</v>
      </c>
      <c r="E324" s="13">
        <v>2507</v>
      </c>
      <c r="F324" s="13">
        <v>1030</v>
      </c>
      <c r="G324" s="13"/>
      <c r="H324" s="13"/>
      <c r="I324" s="13">
        <v>506</v>
      </c>
      <c r="J324" s="13"/>
      <c r="K324" s="13"/>
      <c r="L324" s="5"/>
      <c r="M324" s="5"/>
    </row>
    <row r="325" spans="1:13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5"/>
      <c r="M325" s="5"/>
    </row>
    <row r="326" spans="1:13">
      <c r="A326" s="33" t="s">
        <v>84</v>
      </c>
      <c r="B326" s="29" t="s">
        <v>1203</v>
      </c>
      <c r="C326" s="32" t="s">
        <v>2700</v>
      </c>
      <c r="D326" s="29" t="s">
        <v>2107</v>
      </c>
      <c r="E326" s="29" t="s">
        <v>2107</v>
      </c>
      <c r="F326" s="29"/>
      <c r="G326" s="29" t="s">
        <v>2107</v>
      </c>
      <c r="H326" s="29"/>
      <c r="I326" s="29"/>
      <c r="J326" s="30">
        <v>7194</v>
      </c>
      <c r="K326" s="32" t="s">
        <v>1207</v>
      </c>
      <c r="L326" s="5"/>
      <c r="M326" s="5"/>
    </row>
    <row r="327" spans="1:13">
      <c r="A327" s="30"/>
      <c r="B327" s="30">
        <v>37909</v>
      </c>
      <c r="C327" s="30">
        <v>10260</v>
      </c>
      <c r="D327" s="30">
        <v>1868</v>
      </c>
      <c r="E327" s="30">
        <v>1001</v>
      </c>
      <c r="F327" s="30"/>
      <c r="G327" s="30">
        <v>859</v>
      </c>
      <c r="H327" s="30"/>
      <c r="I327" s="30"/>
      <c r="J327" s="30"/>
      <c r="K327" s="30"/>
      <c r="L327" s="5"/>
      <c r="M327" s="5"/>
    </row>
    <row r="328" spans="1:13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5"/>
      <c r="M328" s="5"/>
    </row>
    <row r="329" spans="1:13">
      <c r="A329" s="14" t="s">
        <v>89</v>
      </c>
      <c r="B329" s="15" t="s">
        <v>1545</v>
      </c>
      <c r="C329" s="12" t="s">
        <v>2701</v>
      </c>
      <c r="D329" s="15"/>
      <c r="E329" s="15" t="s">
        <v>1545</v>
      </c>
      <c r="F329" s="15" t="s">
        <v>1545</v>
      </c>
      <c r="G329" s="15"/>
      <c r="H329" s="15"/>
      <c r="I329" s="15" t="s">
        <v>2702</v>
      </c>
      <c r="J329" s="13">
        <v>4497</v>
      </c>
      <c r="K329" s="12" t="s">
        <v>1548</v>
      </c>
      <c r="L329" s="5"/>
      <c r="M329" s="5"/>
    </row>
    <row r="330" spans="1:13">
      <c r="A330" s="13"/>
      <c r="B330" s="13">
        <v>27758</v>
      </c>
      <c r="C330" s="13">
        <v>15834</v>
      </c>
      <c r="D330" s="13"/>
      <c r="E330" s="13">
        <v>2806</v>
      </c>
      <c r="F330" s="13">
        <v>940</v>
      </c>
      <c r="G330" s="13"/>
      <c r="H330" s="13"/>
      <c r="I330" s="13">
        <v>562</v>
      </c>
      <c r="J330" s="13"/>
      <c r="K330" s="13"/>
      <c r="L330" s="5"/>
      <c r="M330" s="5"/>
    </row>
    <row r="331" spans="1:13">
      <c r="A331" s="13"/>
      <c r="B331" s="13"/>
      <c r="C331" s="13"/>
      <c r="D331" s="13"/>
      <c r="E331" s="13"/>
      <c r="F331" s="13"/>
      <c r="G331" s="13"/>
      <c r="H331" s="13"/>
      <c r="I331" s="15" t="s">
        <v>2703</v>
      </c>
      <c r="J331" s="13"/>
      <c r="K331" s="13"/>
      <c r="L331" s="5"/>
      <c r="M331" s="5"/>
    </row>
    <row r="332" spans="1:13">
      <c r="A332" s="13"/>
      <c r="B332" s="13"/>
      <c r="C332" s="13"/>
      <c r="D332" s="13"/>
      <c r="E332" s="13"/>
      <c r="F332" s="13"/>
      <c r="G332" s="13"/>
      <c r="H332" s="13"/>
      <c r="I332" s="13">
        <v>1021</v>
      </c>
      <c r="J332" s="13"/>
      <c r="K332" s="13"/>
      <c r="L332" s="5"/>
      <c r="M332" s="5"/>
    </row>
    <row r="333" spans="1:13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5"/>
      <c r="M333" s="5"/>
    </row>
    <row r="334" spans="1:13">
      <c r="A334" s="33" t="s">
        <v>96</v>
      </c>
      <c r="B334" s="29" t="s">
        <v>1211</v>
      </c>
      <c r="C334" s="32"/>
      <c r="D334" s="29"/>
      <c r="E334" s="29"/>
      <c r="F334" s="29"/>
      <c r="G334" s="32" t="s">
        <v>2704</v>
      </c>
      <c r="H334" s="32"/>
      <c r="I334" s="29"/>
      <c r="J334" s="30">
        <v>15211</v>
      </c>
      <c r="K334" s="32" t="s">
        <v>1213</v>
      </c>
      <c r="L334" s="5"/>
      <c r="M334" s="5"/>
    </row>
    <row r="335" spans="1:13">
      <c r="A335" s="30"/>
      <c r="B335" s="30">
        <v>31941</v>
      </c>
      <c r="C335" s="30"/>
      <c r="D335" s="30"/>
      <c r="E335" s="30"/>
      <c r="F335" s="30"/>
      <c r="G335" s="30">
        <v>2396</v>
      </c>
      <c r="H335" s="30"/>
      <c r="I335" s="30"/>
      <c r="J335" s="30"/>
      <c r="K335" s="30"/>
      <c r="L335" s="5"/>
      <c r="M335" s="5"/>
    </row>
    <row r="336" spans="1:13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5"/>
      <c r="M336" s="5"/>
    </row>
    <row r="337" spans="1:13">
      <c r="A337" s="14" t="s">
        <v>99</v>
      </c>
      <c r="B337" s="15" t="s">
        <v>2705</v>
      </c>
      <c r="C337" s="12" t="s">
        <v>2172</v>
      </c>
      <c r="D337" s="12" t="s">
        <v>2172</v>
      </c>
      <c r="E337" s="12" t="s">
        <v>2852</v>
      </c>
      <c r="F337" s="12"/>
      <c r="G337" s="15"/>
      <c r="H337" s="15"/>
      <c r="I337" s="15" t="s">
        <v>2706</v>
      </c>
      <c r="J337" s="13">
        <v>5919</v>
      </c>
      <c r="K337" s="12" t="s">
        <v>1925</v>
      </c>
      <c r="L337" s="5"/>
      <c r="M337" s="5"/>
    </row>
    <row r="338" spans="1:13">
      <c r="A338" s="13"/>
      <c r="B338" s="13">
        <v>26938</v>
      </c>
      <c r="C338" s="13">
        <v>27422</v>
      </c>
      <c r="D338" s="13">
        <v>2832</v>
      </c>
      <c r="E338" s="13">
        <v>2239</v>
      </c>
      <c r="F338" s="14"/>
      <c r="G338" s="13"/>
      <c r="H338" s="13"/>
      <c r="I338" s="13">
        <v>313</v>
      </c>
      <c r="J338" s="13"/>
      <c r="K338" s="13"/>
      <c r="L338" s="5"/>
      <c r="M338" s="5"/>
    </row>
    <row r="339" spans="1:13">
      <c r="A339" s="13"/>
      <c r="B339" s="13"/>
      <c r="C339" s="13"/>
      <c r="D339" s="13"/>
      <c r="E339" s="13"/>
      <c r="F339" s="13"/>
      <c r="G339" s="13"/>
      <c r="H339" s="13"/>
      <c r="I339" s="15" t="s">
        <v>2707</v>
      </c>
      <c r="J339" s="13"/>
      <c r="K339" s="13"/>
      <c r="L339" s="5"/>
      <c r="M339" s="5"/>
    </row>
    <row r="340" spans="1:13">
      <c r="A340" s="13"/>
      <c r="B340" s="13"/>
      <c r="C340" s="13"/>
      <c r="D340" s="13"/>
      <c r="E340" s="13"/>
      <c r="F340" s="13"/>
      <c r="G340" s="13"/>
      <c r="H340" s="13"/>
      <c r="I340" s="13">
        <v>247</v>
      </c>
      <c r="J340" s="13"/>
      <c r="K340" s="13"/>
      <c r="L340" s="5"/>
      <c r="M340" s="5"/>
    </row>
    <row r="341" spans="1:1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5"/>
      <c r="M341" s="5"/>
    </row>
    <row r="342" spans="1:13">
      <c r="A342" s="33" t="s">
        <v>111</v>
      </c>
      <c r="B342" s="29" t="s">
        <v>2708</v>
      </c>
      <c r="C342" s="32" t="s">
        <v>1724</v>
      </c>
      <c r="D342" s="32" t="s">
        <v>1724</v>
      </c>
      <c r="E342" s="32" t="s">
        <v>1724</v>
      </c>
      <c r="F342" s="29" t="s">
        <v>2708</v>
      </c>
      <c r="G342" s="32" t="s">
        <v>1724</v>
      </c>
      <c r="H342" s="32"/>
      <c r="I342" s="29" t="s">
        <v>2709</v>
      </c>
      <c r="J342" s="30">
        <v>5310</v>
      </c>
      <c r="K342" s="32" t="s">
        <v>1725</v>
      </c>
      <c r="L342" s="5"/>
      <c r="M342" s="5"/>
    </row>
    <row r="343" spans="1:13">
      <c r="A343" s="30"/>
      <c r="B343" s="30">
        <v>16485</v>
      </c>
      <c r="C343" s="30">
        <v>26483</v>
      </c>
      <c r="D343" s="30">
        <v>3424</v>
      </c>
      <c r="E343" s="30">
        <v>2279</v>
      </c>
      <c r="F343" s="30">
        <v>1017</v>
      </c>
      <c r="G343" s="30">
        <v>1304</v>
      </c>
      <c r="H343" s="30"/>
      <c r="I343" s="30">
        <v>1304</v>
      </c>
      <c r="J343" s="30"/>
      <c r="K343" s="30"/>
      <c r="L343" s="5"/>
      <c r="M343" s="5"/>
    </row>
    <row r="344" spans="1:1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5"/>
      <c r="M344" s="5"/>
    </row>
    <row r="345" spans="1:13">
      <c r="A345" s="14" t="s">
        <v>119</v>
      </c>
      <c r="B345" s="15"/>
      <c r="C345" s="12" t="s">
        <v>2175</v>
      </c>
      <c r="D345" s="12" t="s">
        <v>2175</v>
      </c>
      <c r="E345" s="12"/>
      <c r="F345" s="15"/>
      <c r="G345" s="15"/>
      <c r="H345" s="15"/>
      <c r="I345" s="15" t="s">
        <v>2710</v>
      </c>
      <c r="J345" s="13">
        <v>19193</v>
      </c>
      <c r="K345" s="12" t="s">
        <v>2176</v>
      </c>
      <c r="L345" s="5"/>
      <c r="M345" s="5"/>
    </row>
    <row r="346" spans="1:13">
      <c r="A346" s="13"/>
      <c r="B346" s="13"/>
      <c r="C346" s="13">
        <v>28804</v>
      </c>
      <c r="D346" s="13">
        <v>4534</v>
      </c>
      <c r="E346" s="13"/>
      <c r="F346" s="13"/>
      <c r="G346" s="13"/>
      <c r="H346" s="13"/>
      <c r="I346" s="13">
        <v>1928</v>
      </c>
      <c r="J346" s="13"/>
      <c r="K346" s="13"/>
      <c r="L346" s="5"/>
      <c r="M346" s="5"/>
    </row>
    <row r="347" spans="1:1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5"/>
      <c r="M347" s="5"/>
    </row>
    <row r="348" spans="1:13">
      <c r="A348" s="33" t="s">
        <v>127</v>
      </c>
      <c r="B348" s="29" t="s">
        <v>2416</v>
      </c>
      <c r="C348" s="32" t="s">
        <v>2177</v>
      </c>
      <c r="D348" s="32" t="s">
        <v>2177</v>
      </c>
      <c r="E348" s="32"/>
      <c r="F348" s="29"/>
      <c r="G348" s="29"/>
      <c r="H348" s="29"/>
      <c r="I348" s="29" t="s">
        <v>2711</v>
      </c>
      <c r="J348" s="30">
        <v>4601</v>
      </c>
      <c r="K348" s="32" t="s">
        <v>1731</v>
      </c>
      <c r="L348" s="5"/>
      <c r="M348" s="5"/>
    </row>
    <row r="349" spans="1:13">
      <c r="A349" s="30"/>
      <c r="B349" s="30">
        <v>13263</v>
      </c>
      <c r="C349" s="30">
        <v>19966</v>
      </c>
      <c r="D349" s="30">
        <v>2766</v>
      </c>
      <c r="E349" s="30"/>
      <c r="F349" s="30"/>
      <c r="G349" s="30"/>
      <c r="H349" s="30"/>
      <c r="I349" s="30">
        <v>805</v>
      </c>
      <c r="J349" s="30"/>
      <c r="K349" s="30"/>
      <c r="L349" s="5"/>
      <c r="M349" s="5"/>
    </row>
    <row r="350" spans="1:1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5"/>
      <c r="M350" s="5"/>
    </row>
    <row r="351" spans="1:13">
      <c r="A351" s="14" t="s">
        <v>131</v>
      </c>
      <c r="B351" s="15" t="s">
        <v>1219</v>
      </c>
      <c r="C351" s="12" t="s">
        <v>2417</v>
      </c>
      <c r="D351" s="12" t="s">
        <v>2417</v>
      </c>
      <c r="E351" s="12" t="s">
        <v>382</v>
      </c>
      <c r="F351" s="15"/>
      <c r="G351" s="15"/>
      <c r="H351" s="15"/>
      <c r="I351" s="12" t="s">
        <v>2712</v>
      </c>
      <c r="J351" s="13">
        <v>4483</v>
      </c>
      <c r="K351" s="12" t="s">
        <v>132</v>
      </c>
      <c r="L351" s="5"/>
      <c r="M351" s="5"/>
    </row>
    <row r="352" spans="1:13">
      <c r="A352" s="13"/>
      <c r="B352" s="13">
        <v>21036</v>
      </c>
      <c r="C352" s="13">
        <v>14734</v>
      </c>
      <c r="D352" s="13">
        <v>1917</v>
      </c>
      <c r="E352" s="13">
        <v>2749</v>
      </c>
      <c r="F352" s="13"/>
      <c r="G352" s="13"/>
      <c r="H352" s="13"/>
      <c r="I352" s="13">
        <v>450</v>
      </c>
      <c r="J352" s="13"/>
      <c r="K352" s="13"/>
      <c r="L352" s="5"/>
      <c r="M352" s="5"/>
    </row>
    <row r="353" spans="1:13">
      <c r="A353" s="13"/>
      <c r="B353" s="13"/>
      <c r="C353" s="14"/>
      <c r="D353" s="13"/>
      <c r="E353" s="13"/>
      <c r="F353" s="13"/>
      <c r="G353" s="13"/>
      <c r="H353" s="13"/>
      <c r="I353" s="14"/>
      <c r="J353" s="13"/>
      <c r="K353" s="13"/>
      <c r="L353" s="5"/>
      <c r="M353" s="5"/>
    </row>
    <row r="354" spans="1:13">
      <c r="A354" s="33" t="s">
        <v>137</v>
      </c>
      <c r="B354" s="29" t="s">
        <v>795</v>
      </c>
      <c r="C354" s="32" t="s">
        <v>2713</v>
      </c>
      <c r="D354" s="32" t="s">
        <v>2713</v>
      </c>
      <c r="E354" s="32" t="s">
        <v>587</v>
      </c>
      <c r="F354" s="29"/>
      <c r="G354" s="29"/>
      <c r="H354" s="29"/>
      <c r="I354" s="32" t="s">
        <v>2714</v>
      </c>
      <c r="J354" s="30">
        <v>2450</v>
      </c>
      <c r="K354" s="32" t="s">
        <v>2715</v>
      </c>
      <c r="L354" s="5"/>
      <c r="M354" s="5"/>
    </row>
    <row r="355" spans="1:13">
      <c r="A355" s="30"/>
      <c r="B355" s="30">
        <v>15744</v>
      </c>
      <c r="C355" s="30">
        <v>18618</v>
      </c>
      <c r="D355" s="30">
        <v>2440</v>
      </c>
      <c r="E355" s="30">
        <v>904</v>
      </c>
      <c r="F355" s="30"/>
      <c r="G355" s="30"/>
      <c r="H355" s="30"/>
      <c r="I355" s="30">
        <v>604</v>
      </c>
      <c r="J355" s="30"/>
      <c r="K355" s="30"/>
      <c r="L355" s="5"/>
      <c r="M355" s="5"/>
    </row>
    <row r="356" spans="1:13">
      <c r="A356" s="30"/>
      <c r="B356" s="30"/>
      <c r="C356" s="30"/>
      <c r="D356" s="30"/>
      <c r="E356" s="30"/>
      <c r="F356" s="30"/>
      <c r="G356" s="30"/>
      <c r="H356" s="30"/>
      <c r="I356" s="32" t="s">
        <v>2716</v>
      </c>
      <c r="J356" s="30"/>
      <c r="K356" s="30"/>
      <c r="L356" s="5"/>
      <c r="M356" s="5"/>
    </row>
    <row r="357" spans="1:13">
      <c r="A357" s="30"/>
      <c r="B357" s="30"/>
      <c r="C357" s="30"/>
      <c r="D357" s="30"/>
      <c r="E357" s="30"/>
      <c r="F357" s="30"/>
      <c r="G357" s="30"/>
      <c r="H357" s="30"/>
      <c r="I357" s="30">
        <v>452</v>
      </c>
      <c r="J357" s="30"/>
      <c r="K357" s="30"/>
      <c r="L357" s="5"/>
      <c r="M357" s="5"/>
    </row>
    <row r="358" spans="1:13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5"/>
      <c r="M358" s="5"/>
    </row>
    <row r="359" spans="1:13">
      <c r="A359" s="14" t="s">
        <v>146</v>
      </c>
      <c r="B359" s="15"/>
      <c r="C359" s="12" t="s">
        <v>2181</v>
      </c>
      <c r="D359" s="12" t="s">
        <v>2181</v>
      </c>
      <c r="E359" s="12"/>
      <c r="F359" s="15"/>
      <c r="G359" s="15"/>
      <c r="H359" s="15"/>
      <c r="I359" s="15" t="s">
        <v>2717</v>
      </c>
      <c r="J359" s="13">
        <v>20485</v>
      </c>
      <c r="K359" s="12" t="s">
        <v>441</v>
      </c>
      <c r="L359" s="5"/>
      <c r="M359" s="5"/>
    </row>
    <row r="360" spans="1:13">
      <c r="A360" s="13"/>
      <c r="B360" s="13"/>
      <c r="C360" s="13">
        <v>26095</v>
      </c>
      <c r="D360" s="13">
        <v>4097</v>
      </c>
      <c r="E360" s="13"/>
      <c r="F360" s="13"/>
      <c r="G360" s="13"/>
      <c r="H360" s="13"/>
      <c r="I360" s="13">
        <v>1217</v>
      </c>
      <c r="J360" s="13"/>
      <c r="K360" s="13"/>
      <c r="L360" s="5"/>
      <c r="M360" s="5"/>
    </row>
    <row r="361" spans="1:13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5"/>
      <c r="M361" s="5"/>
    </row>
    <row r="362" spans="1:13">
      <c r="A362" s="33" t="s">
        <v>151</v>
      </c>
      <c r="B362" s="29" t="s">
        <v>2718</v>
      </c>
      <c r="C362" s="32" t="s">
        <v>2182</v>
      </c>
      <c r="D362" s="32" t="s">
        <v>2182</v>
      </c>
      <c r="E362" s="32" t="s">
        <v>2853</v>
      </c>
      <c r="F362" s="29"/>
      <c r="G362" s="29"/>
      <c r="H362" s="29"/>
      <c r="I362" s="29" t="s">
        <v>2719</v>
      </c>
      <c r="J362" s="30">
        <v>2981</v>
      </c>
      <c r="K362" s="32" t="s">
        <v>2184</v>
      </c>
      <c r="L362" s="5"/>
      <c r="M362" s="5"/>
    </row>
    <row r="363" spans="1:13">
      <c r="A363" s="30"/>
      <c r="B363" s="30">
        <v>6933</v>
      </c>
      <c r="C363" s="30">
        <v>19679</v>
      </c>
      <c r="D363" s="30">
        <v>2569</v>
      </c>
      <c r="E363" s="30">
        <v>4344</v>
      </c>
      <c r="F363" s="30"/>
      <c r="G363" s="30"/>
      <c r="H363" s="30"/>
      <c r="I363" s="30">
        <v>548</v>
      </c>
      <c r="J363" s="30"/>
      <c r="K363" s="30"/>
      <c r="L363" s="5"/>
      <c r="M363" s="5"/>
    </row>
    <row r="364" spans="1:13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5"/>
      <c r="M364" s="5"/>
    </row>
    <row r="365" spans="1:13">
      <c r="A365" s="14" t="s">
        <v>157</v>
      </c>
      <c r="B365" s="15" t="s">
        <v>2720</v>
      </c>
      <c r="C365" s="12" t="s">
        <v>1392</v>
      </c>
      <c r="D365" s="12" t="s">
        <v>1392</v>
      </c>
      <c r="E365" s="12"/>
      <c r="F365" s="15"/>
      <c r="G365" s="15"/>
      <c r="H365" s="15"/>
      <c r="I365" s="12" t="s">
        <v>2721</v>
      </c>
      <c r="J365" s="13">
        <v>7257</v>
      </c>
      <c r="K365" s="12" t="s">
        <v>1394</v>
      </c>
      <c r="L365" s="5"/>
      <c r="M365" s="5"/>
    </row>
    <row r="366" spans="1:13">
      <c r="A366" s="13"/>
      <c r="B366" s="13">
        <v>14095</v>
      </c>
      <c r="C366" s="13">
        <v>24960</v>
      </c>
      <c r="D366" s="13">
        <v>3959</v>
      </c>
      <c r="E366" s="13"/>
      <c r="F366" s="13"/>
      <c r="G366" s="13"/>
      <c r="H366" s="13"/>
      <c r="I366" s="13">
        <v>2526</v>
      </c>
      <c r="J366" s="13"/>
      <c r="K366" s="13"/>
      <c r="L366" s="5"/>
      <c r="M366" s="5"/>
    </row>
    <row r="367" spans="1:13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5"/>
      <c r="M367" s="5"/>
    </row>
    <row r="368" spans="1:13">
      <c r="A368" s="33" t="s">
        <v>165</v>
      </c>
      <c r="B368" s="29" t="s">
        <v>1225</v>
      </c>
      <c r="C368" s="32" t="s">
        <v>2722</v>
      </c>
      <c r="D368" s="32" t="s">
        <v>2722</v>
      </c>
      <c r="E368" s="32" t="s">
        <v>1226</v>
      </c>
      <c r="F368" s="29"/>
      <c r="G368" s="32"/>
      <c r="H368" s="32"/>
      <c r="I368" s="29" t="s">
        <v>2723</v>
      </c>
      <c r="J368" s="30">
        <v>2048</v>
      </c>
      <c r="K368" s="32" t="s">
        <v>1227</v>
      </c>
      <c r="L368" s="5"/>
      <c r="M368" s="5"/>
    </row>
    <row r="369" spans="1:13">
      <c r="A369" s="30"/>
      <c r="B369" s="30">
        <v>19130</v>
      </c>
      <c r="C369" s="30">
        <v>10472</v>
      </c>
      <c r="D369" s="30">
        <v>1756</v>
      </c>
      <c r="E369" s="30">
        <v>1990</v>
      </c>
      <c r="F369" s="30"/>
      <c r="G369" s="30"/>
      <c r="H369" s="30"/>
      <c r="I369" s="30">
        <v>339</v>
      </c>
      <c r="J369" s="30"/>
      <c r="K369" s="30"/>
      <c r="L369" s="5"/>
      <c r="M369" s="5"/>
    </row>
    <row r="370" spans="1:13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5"/>
      <c r="M370" s="5"/>
    </row>
    <row r="371" spans="1:13">
      <c r="A371" s="14" t="s">
        <v>169</v>
      </c>
      <c r="B371" s="15" t="s">
        <v>2724</v>
      </c>
      <c r="C371" s="12" t="s">
        <v>2107</v>
      </c>
      <c r="D371" s="15"/>
      <c r="E371" s="15"/>
      <c r="F371" s="15"/>
      <c r="G371" s="15"/>
      <c r="H371" s="15"/>
      <c r="I371" s="12" t="s">
        <v>2725</v>
      </c>
      <c r="J371" s="13">
        <v>7534</v>
      </c>
      <c r="K371" s="12" t="s">
        <v>2190</v>
      </c>
      <c r="L371" s="5"/>
      <c r="M371" s="5"/>
    </row>
    <row r="372" spans="1:13">
      <c r="A372" s="13"/>
      <c r="B372" s="13">
        <v>11095</v>
      </c>
      <c r="C372" s="13">
        <v>25224</v>
      </c>
      <c r="D372" s="13"/>
      <c r="E372" s="13"/>
      <c r="F372" s="13"/>
      <c r="G372" s="13"/>
      <c r="H372" s="13"/>
      <c r="I372" s="13">
        <v>2354</v>
      </c>
      <c r="J372" s="13"/>
      <c r="K372" s="13"/>
      <c r="L372" s="5"/>
      <c r="M372" s="5"/>
    </row>
    <row r="373" spans="1:13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5"/>
      <c r="M373" s="5"/>
    </row>
    <row r="374" spans="1:13">
      <c r="A374" s="33" t="s">
        <v>175</v>
      </c>
      <c r="B374" s="29" t="s">
        <v>2191</v>
      </c>
      <c r="C374" s="32" t="s">
        <v>2726</v>
      </c>
      <c r="D374" s="32" t="s">
        <v>2726</v>
      </c>
      <c r="E374" s="32" t="s">
        <v>2192</v>
      </c>
      <c r="F374" s="29"/>
      <c r="G374" s="32"/>
      <c r="H374" s="32"/>
      <c r="I374" s="29" t="s">
        <v>2727</v>
      </c>
      <c r="J374" s="30">
        <v>3380</v>
      </c>
      <c r="K374" s="32" t="s">
        <v>2193</v>
      </c>
      <c r="L374" s="5"/>
      <c r="M374" s="5"/>
    </row>
    <row r="375" spans="1:13">
      <c r="A375" s="30"/>
      <c r="B375" s="30">
        <v>34130</v>
      </c>
      <c r="C375" s="30">
        <v>9216</v>
      </c>
      <c r="D375" s="30">
        <v>1507</v>
      </c>
      <c r="E375" s="30">
        <v>3092</v>
      </c>
      <c r="F375" s="30"/>
      <c r="G375" s="30"/>
      <c r="H375" s="30"/>
      <c r="I375" s="30">
        <v>91</v>
      </c>
      <c r="J375" s="30"/>
      <c r="K375" s="30"/>
      <c r="L375" s="5"/>
      <c r="M375" s="5"/>
    </row>
    <row r="376" spans="1:13">
      <c r="A376" s="30"/>
      <c r="B376" s="30"/>
      <c r="C376" s="30"/>
      <c r="D376" s="30"/>
      <c r="E376" s="30"/>
      <c r="F376" s="30"/>
      <c r="G376" s="30"/>
      <c r="H376" s="30"/>
      <c r="I376" s="29" t="s">
        <v>2728</v>
      </c>
      <c r="J376" s="30"/>
      <c r="K376" s="30"/>
      <c r="L376" s="5"/>
      <c r="M376" s="5"/>
    </row>
    <row r="377" spans="1:13">
      <c r="A377" s="30"/>
      <c r="B377" s="30"/>
      <c r="C377" s="30"/>
      <c r="D377" s="30"/>
      <c r="E377" s="30"/>
      <c r="F377" s="30"/>
      <c r="G377" s="30"/>
      <c r="H377" s="30"/>
      <c r="I377" s="30">
        <v>492</v>
      </c>
      <c r="J377" s="30"/>
      <c r="K377" s="30"/>
      <c r="L377" s="5"/>
      <c r="M377" s="5"/>
    </row>
    <row r="378" spans="1:13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5"/>
      <c r="M378" s="5"/>
    </row>
    <row r="379" spans="1:13">
      <c r="A379" s="14" t="s">
        <v>178</v>
      </c>
      <c r="B379" s="15" t="s">
        <v>1397</v>
      </c>
      <c r="C379" s="12" t="s">
        <v>2729</v>
      </c>
      <c r="D379" s="15"/>
      <c r="E379" s="15" t="s">
        <v>1397</v>
      </c>
      <c r="F379" s="15"/>
      <c r="G379" s="15"/>
      <c r="H379" s="15"/>
      <c r="I379" s="12" t="s">
        <v>2730</v>
      </c>
      <c r="J379" s="13">
        <v>4971</v>
      </c>
      <c r="K379" s="12" t="s">
        <v>1400</v>
      </c>
      <c r="L379" s="5"/>
      <c r="M379" s="5"/>
    </row>
    <row r="380" spans="1:13">
      <c r="A380" s="13"/>
      <c r="B380" s="13">
        <v>24634</v>
      </c>
      <c r="C380" s="13">
        <v>9672</v>
      </c>
      <c r="D380" s="13"/>
      <c r="E380" s="13">
        <v>1535</v>
      </c>
      <c r="F380" s="13"/>
      <c r="G380" s="13"/>
      <c r="H380" s="13"/>
      <c r="I380" s="13">
        <v>132</v>
      </c>
      <c r="J380" s="13"/>
      <c r="K380" s="13"/>
      <c r="L380" s="5"/>
      <c r="M380" s="5"/>
    </row>
    <row r="381" spans="1:13">
      <c r="A381" s="13"/>
      <c r="B381" s="13"/>
      <c r="C381" s="14"/>
      <c r="D381" s="13"/>
      <c r="E381" s="13"/>
      <c r="F381" s="13"/>
      <c r="G381" s="14"/>
      <c r="H381" s="14"/>
      <c r="I381" s="14"/>
      <c r="J381" s="13"/>
      <c r="K381" s="13"/>
      <c r="L381" s="5"/>
      <c r="M381" s="5"/>
    </row>
    <row r="382" spans="1:13">
      <c r="A382" s="30" t="s">
        <v>180</v>
      </c>
      <c r="B382" s="29" t="s">
        <v>2731</v>
      </c>
      <c r="C382" s="29" t="s">
        <v>2732</v>
      </c>
      <c r="D382" s="29" t="s">
        <v>2732</v>
      </c>
      <c r="E382" s="29" t="s">
        <v>390</v>
      </c>
      <c r="F382" s="29"/>
      <c r="G382" s="29" t="s">
        <v>2732</v>
      </c>
      <c r="H382" s="29"/>
      <c r="I382" s="29" t="s">
        <v>2733</v>
      </c>
      <c r="J382" s="30">
        <v>3613</v>
      </c>
      <c r="K382" s="32" t="s">
        <v>2734</v>
      </c>
      <c r="L382" s="5"/>
      <c r="M382" s="5"/>
    </row>
    <row r="383" spans="1:13">
      <c r="A383" s="33"/>
      <c r="B383" s="30">
        <v>18318</v>
      </c>
      <c r="C383" s="30">
        <v>16829</v>
      </c>
      <c r="D383" s="30">
        <v>2083</v>
      </c>
      <c r="E383" s="30">
        <v>1388</v>
      </c>
      <c r="F383" s="30"/>
      <c r="G383" s="30">
        <v>911</v>
      </c>
      <c r="H383" s="30"/>
      <c r="I383" s="30">
        <v>193</v>
      </c>
      <c r="J383" s="30"/>
      <c r="K383" s="30"/>
      <c r="L383" s="5"/>
      <c r="M383" s="5"/>
    </row>
    <row r="384" spans="1:13">
      <c r="A384" s="14"/>
      <c r="B384" s="13"/>
      <c r="C384" s="14"/>
      <c r="D384" s="13"/>
      <c r="E384" s="13"/>
      <c r="F384" s="13"/>
      <c r="G384" s="13"/>
      <c r="H384" s="13"/>
      <c r="I384" s="13"/>
      <c r="J384" s="13"/>
      <c r="K384" s="13"/>
      <c r="L384" s="5"/>
      <c r="M384" s="5"/>
    </row>
    <row r="385" spans="1:13">
      <c r="A385" s="13" t="s">
        <v>182</v>
      </c>
      <c r="B385" s="15" t="s">
        <v>2735</v>
      </c>
      <c r="C385" s="12" t="s">
        <v>2198</v>
      </c>
      <c r="D385" s="12" t="s">
        <v>2198</v>
      </c>
      <c r="E385" s="12" t="s">
        <v>2198</v>
      </c>
      <c r="F385" s="15"/>
      <c r="G385" s="15"/>
      <c r="H385" s="15"/>
      <c r="I385" s="15" t="s">
        <v>2736</v>
      </c>
      <c r="J385" s="13">
        <v>8543</v>
      </c>
      <c r="K385" s="12" t="s">
        <v>2200</v>
      </c>
      <c r="L385" s="5"/>
      <c r="M385" s="5"/>
    </row>
    <row r="386" spans="1:13">
      <c r="A386" s="13"/>
      <c r="B386" s="13">
        <v>14106</v>
      </c>
      <c r="C386" s="13">
        <v>31965</v>
      </c>
      <c r="D386" s="13">
        <v>3547</v>
      </c>
      <c r="E386" s="13">
        <v>1892</v>
      </c>
      <c r="F386" s="13"/>
      <c r="G386" s="13"/>
      <c r="H386" s="13"/>
      <c r="I386" s="13">
        <v>253</v>
      </c>
      <c r="J386" s="13"/>
      <c r="K386" s="13"/>
      <c r="L386" s="5"/>
      <c r="M386" s="5"/>
    </row>
    <row r="387" spans="1:13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5"/>
      <c r="M387" s="5"/>
    </row>
    <row r="388" spans="1:13">
      <c r="A388" s="33" t="s">
        <v>183</v>
      </c>
      <c r="B388" s="29"/>
      <c r="C388" s="32" t="s">
        <v>2202</v>
      </c>
      <c r="D388" s="32" t="s">
        <v>2202</v>
      </c>
      <c r="E388" s="32"/>
      <c r="F388" s="29"/>
      <c r="G388" s="32"/>
      <c r="H388" s="32"/>
      <c r="I388" s="29" t="s">
        <v>2737</v>
      </c>
      <c r="J388" s="30">
        <v>16914</v>
      </c>
      <c r="K388" s="32" t="s">
        <v>240</v>
      </c>
      <c r="L388" s="5"/>
      <c r="M388" s="5"/>
    </row>
    <row r="389" spans="1:13">
      <c r="A389" s="30"/>
      <c r="B389" s="30"/>
      <c r="C389" s="30">
        <v>24213</v>
      </c>
      <c r="D389" s="30">
        <v>3401</v>
      </c>
      <c r="E389" s="30"/>
      <c r="F389" s="30"/>
      <c r="G389" s="30"/>
      <c r="H389" s="30"/>
      <c r="I389" s="30">
        <v>3155</v>
      </c>
      <c r="J389" s="30"/>
      <c r="K389" s="30"/>
      <c r="L389" s="5"/>
      <c r="M389" s="5"/>
    </row>
    <row r="390" spans="1:13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5"/>
      <c r="M390" s="5"/>
    </row>
    <row r="391" spans="1:13">
      <c r="A391" s="13" t="s">
        <v>184</v>
      </c>
      <c r="B391" s="15" t="s">
        <v>2428</v>
      </c>
      <c r="C391" s="15" t="s">
        <v>2203</v>
      </c>
      <c r="D391" s="15" t="s">
        <v>2203</v>
      </c>
      <c r="E391" s="15" t="s">
        <v>1566</v>
      </c>
      <c r="F391" s="15"/>
      <c r="G391" s="15"/>
      <c r="H391" s="15"/>
      <c r="I391" s="15" t="s">
        <v>2738</v>
      </c>
      <c r="J391" s="13">
        <v>4591</v>
      </c>
      <c r="K391" s="12" t="s">
        <v>2204</v>
      </c>
      <c r="L391" s="5"/>
      <c r="M391" s="5"/>
    </row>
    <row r="392" spans="1:13">
      <c r="A392" s="13"/>
      <c r="B392" s="13">
        <v>18589</v>
      </c>
      <c r="C392" s="13">
        <v>26349</v>
      </c>
      <c r="D392" s="13">
        <v>2000</v>
      </c>
      <c r="E392" s="13">
        <v>1224</v>
      </c>
      <c r="F392" s="13"/>
      <c r="G392" s="13"/>
      <c r="H392" s="13"/>
      <c r="I392" s="13">
        <v>289</v>
      </c>
      <c r="J392" s="13"/>
      <c r="K392" s="13"/>
      <c r="L392" s="5"/>
      <c r="M392" s="5"/>
    </row>
    <row r="393" spans="1:13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5"/>
      <c r="M393" s="5"/>
    </row>
    <row r="394" spans="1:13">
      <c r="A394" s="30" t="s">
        <v>185</v>
      </c>
      <c r="B394" s="29" t="s">
        <v>2739</v>
      </c>
      <c r="C394" s="29" t="s">
        <v>2205</v>
      </c>
      <c r="D394" s="29" t="s">
        <v>2205</v>
      </c>
      <c r="E394" s="29"/>
      <c r="F394" s="29"/>
      <c r="G394" s="29"/>
      <c r="H394" s="29"/>
      <c r="I394" s="29" t="s">
        <v>2740</v>
      </c>
      <c r="J394" s="30">
        <v>6263</v>
      </c>
      <c r="K394" s="32" t="s">
        <v>1945</v>
      </c>
      <c r="L394" s="5"/>
      <c r="M394" s="5"/>
    </row>
    <row r="395" spans="1:13">
      <c r="A395" s="30"/>
      <c r="B395" s="30">
        <v>14211</v>
      </c>
      <c r="C395" s="30">
        <v>24026</v>
      </c>
      <c r="D395" s="30">
        <v>2123</v>
      </c>
      <c r="E395" s="30"/>
      <c r="F395" s="30"/>
      <c r="G395" s="30"/>
      <c r="H395" s="30"/>
      <c r="I395" s="30">
        <v>372</v>
      </c>
      <c r="J395" s="30"/>
      <c r="K395" s="30"/>
      <c r="L395" s="5"/>
      <c r="M395" s="5"/>
    </row>
    <row r="396" spans="1:1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>
      <c r="A397" s="14" t="s">
        <v>7</v>
      </c>
      <c r="B397" s="15" t="s">
        <v>2207</v>
      </c>
      <c r="C397" s="15" t="s">
        <v>2741</v>
      </c>
      <c r="D397" s="15" t="s">
        <v>2741</v>
      </c>
      <c r="E397" s="15" t="s">
        <v>2271</v>
      </c>
      <c r="F397" s="15"/>
      <c r="G397" s="15"/>
      <c r="H397" s="15"/>
      <c r="I397" s="15"/>
      <c r="J397" s="13">
        <v>5330</v>
      </c>
      <c r="K397" s="12" t="s">
        <v>2208</v>
      </c>
      <c r="L397" s="13"/>
      <c r="M397" s="5"/>
    </row>
    <row r="398" spans="1:13">
      <c r="A398" s="13"/>
      <c r="B398" s="13">
        <v>27559</v>
      </c>
      <c r="C398" s="13">
        <v>11638</v>
      </c>
      <c r="D398" s="13">
        <v>1149</v>
      </c>
      <c r="E398" s="13">
        <v>2382</v>
      </c>
      <c r="F398" s="13"/>
      <c r="G398" s="13"/>
      <c r="H398" s="13"/>
      <c r="I398" s="13"/>
      <c r="J398" s="13"/>
      <c r="K398" s="13"/>
      <c r="L398" s="13"/>
      <c r="M398" s="5"/>
    </row>
    <row r="399" spans="1:13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5"/>
    </row>
    <row r="400" spans="1:13">
      <c r="A400" s="33" t="s">
        <v>9</v>
      </c>
      <c r="B400" s="29"/>
      <c r="C400" s="32" t="s">
        <v>2430</v>
      </c>
      <c r="D400" s="32" t="s">
        <v>2430</v>
      </c>
      <c r="E400" s="32"/>
      <c r="F400" s="29"/>
      <c r="G400" s="29" t="s">
        <v>2742</v>
      </c>
      <c r="H400" s="29"/>
      <c r="I400" s="29" t="s">
        <v>2743</v>
      </c>
      <c r="J400" s="30">
        <v>16056</v>
      </c>
      <c r="K400" s="32" t="s">
        <v>2432</v>
      </c>
      <c r="L400" s="13"/>
      <c r="M400" s="5"/>
    </row>
    <row r="401" spans="1:13">
      <c r="A401" s="30"/>
      <c r="B401" s="30"/>
      <c r="C401" s="30">
        <v>23587</v>
      </c>
      <c r="D401" s="30">
        <v>4233</v>
      </c>
      <c r="E401" s="30"/>
      <c r="F401" s="30"/>
      <c r="G401" s="30">
        <v>1600</v>
      </c>
      <c r="H401" s="30"/>
      <c r="I401" s="30">
        <v>1165</v>
      </c>
      <c r="J401" s="30"/>
      <c r="K401" s="30"/>
      <c r="L401" s="13"/>
      <c r="M401" s="5"/>
    </row>
    <row r="402" spans="1:13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5"/>
    </row>
    <row r="403" spans="1:13">
      <c r="A403" s="14" t="s">
        <v>15</v>
      </c>
      <c r="B403" s="15"/>
      <c r="C403" s="12" t="s">
        <v>2209</v>
      </c>
      <c r="D403" s="15"/>
      <c r="E403" s="15"/>
      <c r="F403" s="15"/>
      <c r="G403" s="15" t="s">
        <v>2744</v>
      </c>
      <c r="H403" s="15"/>
      <c r="I403" s="15"/>
      <c r="J403" s="13">
        <v>17567</v>
      </c>
      <c r="K403" s="12" t="s">
        <v>1957</v>
      </c>
      <c r="L403" s="13"/>
      <c r="M403" s="5"/>
    </row>
    <row r="404" spans="1:13">
      <c r="A404" s="13"/>
      <c r="B404" s="13"/>
      <c r="C404" s="13">
        <v>25710</v>
      </c>
      <c r="D404" s="13"/>
      <c r="E404" s="13"/>
      <c r="F404" s="13"/>
      <c r="G404" s="13">
        <v>2618</v>
      </c>
      <c r="H404" s="13"/>
      <c r="I404" s="13"/>
      <c r="J404" s="13"/>
      <c r="K404" s="13"/>
      <c r="L404" s="13"/>
      <c r="M404" s="5"/>
    </row>
    <row r="405" spans="1:13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5"/>
    </row>
    <row r="406" spans="1:13">
      <c r="A406" s="33" t="s">
        <v>17</v>
      </c>
      <c r="B406" s="29"/>
      <c r="C406" s="32" t="s">
        <v>1237</v>
      </c>
      <c r="D406" s="32" t="s">
        <v>1237</v>
      </c>
      <c r="E406" s="32"/>
      <c r="F406" s="29"/>
      <c r="G406" s="32" t="s">
        <v>2745</v>
      </c>
      <c r="H406" s="32"/>
      <c r="I406" s="29"/>
      <c r="J406" s="30">
        <v>16449</v>
      </c>
      <c r="K406" s="32" t="s">
        <v>18</v>
      </c>
      <c r="L406" s="13"/>
      <c r="M406" s="5"/>
    </row>
    <row r="407" spans="1:13">
      <c r="A407" s="30"/>
      <c r="B407" s="30"/>
      <c r="C407" s="30">
        <v>27196</v>
      </c>
      <c r="D407" s="30">
        <v>5269</v>
      </c>
      <c r="E407" s="30"/>
      <c r="F407" s="30"/>
      <c r="G407" s="30">
        <v>1522</v>
      </c>
      <c r="H407" s="30"/>
      <c r="I407" s="30"/>
      <c r="J407" s="30"/>
      <c r="K407" s="30"/>
      <c r="L407" s="13"/>
      <c r="M407" s="5"/>
    </row>
    <row r="408" spans="1:13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5"/>
    </row>
    <row r="409" spans="1:13">
      <c r="A409" s="14" t="s">
        <v>25</v>
      </c>
      <c r="B409" s="15"/>
      <c r="C409" s="12" t="s">
        <v>2434</v>
      </c>
      <c r="D409" s="12" t="s">
        <v>2434</v>
      </c>
      <c r="E409" s="12"/>
      <c r="F409" s="15"/>
      <c r="G409" s="12" t="s">
        <v>2746</v>
      </c>
      <c r="H409" s="12"/>
      <c r="I409" s="15" t="s">
        <v>2747</v>
      </c>
      <c r="J409" s="13">
        <v>13508</v>
      </c>
      <c r="K409" s="12" t="s">
        <v>2436</v>
      </c>
      <c r="L409" s="13"/>
      <c r="M409" s="5"/>
    </row>
    <row r="410" spans="1:13">
      <c r="A410" s="13"/>
      <c r="B410" s="13"/>
      <c r="C410" s="13">
        <v>27250</v>
      </c>
      <c r="D410" s="13">
        <v>4467</v>
      </c>
      <c r="E410" s="13"/>
      <c r="F410" s="13"/>
      <c r="G410" s="13">
        <v>1446</v>
      </c>
      <c r="H410" s="13"/>
      <c r="I410" s="13">
        <v>1060</v>
      </c>
      <c r="J410" s="13"/>
      <c r="K410" s="13"/>
      <c r="L410" s="13"/>
      <c r="M410" s="5"/>
    </row>
    <row r="411" spans="1:13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5"/>
    </row>
    <row r="412" spans="1:13">
      <c r="A412" s="33" t="s">
        <v>31</v>
      </c>
      <c r="B412" s="29"/>
      <c r="C412" s="32" t="s">
        <v>2212</v>
      </c>
      <c r="D412" s="32" t="s">
        <v>2212</v>
      </c>
      <c r="E412" s="32"/>
      <c r="F412" s="29"/>
      <c r="G412" s="32" t="s">
        <v>2748</v>
      </c>
      <c r="H412" s="32"/>
      <c r="I412" s="29" t="s">
        <v>2749</v>
      </c>
      <c r="J412" s="30">
        <v>15179</v>
      </c>
      <c r="K412" s="32" t="s">
        <v>1416</v>
      </c>
      <c r="L412" s="13"/>
      <c r="M412" s="5"/>
    </row>
    <row r="413" spans="1:13">
      <c r="A413" s="30"/>
      <c r="B413" s="30"/>
      <c r="C413" s="30">
        <v>24797</v>
      </c>
      <c r="D413" s="30">
        <v>3449</v>
      </c>
      <c r="E413" s="30"/>
      <c r="F413" s="30"/>
      <c r="G413" s="30">
        <v>2007</v>
      </c>
      <c r="H413" s="30"/>
      <c r="I413" s="30">
        <v>823</v>
      </c>
      <c r="J413" s="30"/>
      <c r="K413" s="30"/>
      <c r="L413" s="13"/>
      <c r="M413" s="5"/>
    </row>
    <row r="414" spans="1:13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5"/>
    </row>
    <row r="415" spans="1:13">
      <c r="A415" s="14" t="s">
        <v>35</v>
      </c>
      <c r="B415" s="15" t="s">
        <v>1408</v>
      </c>
      <c r="C415" s="12" t="s">
        <v>2750</v>
      </c>
      <c r="D415" s="12" t="s">
        <v>2750</v>
      </c>
      <c r="E415" s="12"/>
      <c r="F415" s="15"/>
      <c r="G415" s="15"/>
      <c r="H415" s="15"/>
      <c r="I415" s="15" t="s">
        <v>2751</v>
      </c>
      <c r="J415" s="13">
        <v>4809</v>
      </c>
      <c r="K415" s="12" t="s">
        <v>1411</v>
      </c>
      <c r="L415" s="13"/>
      <c r="M415" s="5"/>
    </row>
    <row r="416" spans="1:13">
      <c r="A416" s="13"/>
      <c r="B416" s="13">
        <v>21724</v>
      </c>
      <c r="C416" s="13">
        <v>11123</v>
      </c>
      <c r="D416" s="13">
        <v>1877</v>
      </c>
      <c r="E416" s="13"/>
      <c r="F416" s="13"/>
      <c r="G416" s="13"/>
      <c r="H416" s="13"/>
      <c r="I416" s="13">
        <v>299</v>
      </c>
      <c r="J416" s="13"/>
      <c r="K416" s="13"/>
      <c r="L416" s="13"/>
      <c r="M416" s="5"/>
    </row>
    <row r="417" spans="1:13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5"/>
    </row>
    <row r="418" spans="1:13">
      <c r="A418" s="33" t="s">
        <v>44</v>
      </c>
      <c r="B418" s="29" t="s">
        <v>2752</v>
      </c>
      <c r="C418" s="32" t="s">
        <v>2753</v>
      </c>
      <c r="D418" s="32" t="s">
        <v>2753</v>
      </c>
      <c r="E418" s="32"/>
      <c r="F418" s="29"/>
      <c r="G418" s="32" t="s">
        <v>2754</v>
      </c>
      <c r="H418" s="32"/>
      <c r="I418" s="29" t="s">
        <v>2755</v>
      </c>
      <c r="J418" s="30">
        <v>7185</v>
      </c>
      <c r="K418" s="32" t="s">
        <v>45</v>
      </c>
      <c r="L418" s="13"/>
      <c r="M418" s="5"/>
    </row>
    <row r="419" spans="1:13">
      <c r="A419" s="30"/>
      <c r="B419" s="30">
        <v>35287</v>
      </c>
      <c r="C419" s="30">
        <v>14238</v>
      </c>
      <c r="D419" s="30">
        <v>1987</v>
      </c>
      <c r="E419" s="30"/>
      <c r="F419" s="30"/>
      <c r="G419" s="30">
        <v>675</v>
      </c>
      <c r="H419" s="30"/>
      <c r="I419" s="30">
        <v>255</v>
      </c>
      <c r="J419" s="30"/>
      <c r="K419" s="30"/>
      <c r="L419" s="13"/>
      <c r="M419" s="5"/>
    </row>
    <row r="420" spans="1:13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5"/>
    </row>
    <row r="421" spans="1:13">
      <c r="A421" s="14" t="s">
        <v>49</v>
      </c>
      <c r="B421" s="15" t="s">
        <v>2756</v>
      </c>
      <c r="C421" s="12" t="s">
        <v>2757</v>
      </c>
      <c r="D421" s="12" t="s">
        <v>2757</v>
      </c>
      <c r="E421" s="12"/>
      <c r="F421" s="15"/>
      <c r="G421" s="15" t="s">
        <v>2758</v>
      </c>
      <c r="H421" s="15"/>
      <c r="I421" s="15"/>
      <c r="J421" s="13">
        <v>4942</v>
      </c>
      <c r="K421" s="12" t="s">
        <v>50</v>
      </c>
      <c r="L421" s="13"/>
      <c r="M421" s="5"/>
    </row>
    <row r="422" spans="1:13">
      <c r="A422" s="13"/>
      <c r="B422" s="13">
        <v>21545</v>
      </c>
      <c r="C422" s="13">
        <v>5797</v>
      </c>
      <c r="D422" s="13">
        <v>1023</v>
      </c>
      <c r="E422" s="13"/>
      <c r="F422" s="13"/>
      <c r="G422" s="13">
        <v>550</v>
      </c>
      <c r="H422" s="13"/>
      <c r="I422" s="13"/>
      <c r="J422" s="13"/>
      <c r="K422" s="13"/>
      <c r="L422" s="13"/>
      <c r="M422" s="5"/>
    </row>
    <row r="423" spans="1:13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5"/>
    </row>
    <row r="424" spans="1:13">
      <c r="A424" s="33" t="s">
        <v>57</v>
      </c>
      <c r="B424" s="29" t="s">
        <v>2759</v>
      </c>
      <c r="C424" s="32"/>
      <c r="D424" s="29" t="s">
        <v>2759</v>
      </c>
      <c r="E424" s="29"/>
      <c r="F424" s="29"/>
      <c r="G424" s="32"/>
      <c r="H424" s="32"/>
      <c r="I424" s="29"/>
      <c r="J424" s="30">
        <v>16425</v>
      </c>
      <c r="K424" s="32" t="s">
        <v>2219</v>
      </c>
      <c r="L424" s="13"/>
      <c r="M424" s="5"/>
    </row>
    <row r="425" spans="1:13">
      <c r="A425" s="30"/>
      <c r="B425" s="30">
        <v>29701</v>
      </c>
      <c r="C425" s="30"/>
      <c r="D425" s="30">
        <v>7286</v>
      </c>
      <c r="E425" s="30"/>
      <c r="F425" s="30"/>
      <c r="G425" s="33"/>
      <c r="H425" s="33"/>
      <c r="I425" s="30"/>
      <c r="J425" s="30"/>
      <c r="K425" s="30"/>
      <c r="L425" s="13"/>
      <c r="M425" s="5"/>
    </row>
    <row r="426" spans="1:13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5"/>
    </row>
    <row r="427" spans="1:13">
      <c r="A427" s="14" t="s">
        <v>60</v>
      </c>
      <c r="B427" s="15" t="s">
        <v>2760</v>
      </c>
      <c r="C427" s="12" t="s">
        <v>2761</v>
      </c>
      <c r="D427" s="12" t="s">
        <v>2761</v>
      </c>
      <c r="E427" s="12" t="s">
        <v>1053</v>
      </c>
      <c r="F427" s="15"/>
      <c r="G427" s="15" t="s">
        <v>2762</v>
      </c>
      <c r="H427" s="15"/>
      <c r="I427" s="15" t="s">
        <v>2763</v>
      </c>
      <c r="J427" s="13">
        <v>3326</v>
      </c>
      <c r="K427" s="12" t="s">
        <v>1414</v>
      </c>
      <c r="L427" s="13"/>
      <c r="M427" s="5"/>
    </row>
    <row r="428" spans="1:13">
      <c r="A428" s="13"/>
      <c r="B428" s="13">
        <v>33262</v>
      </c>
      <c r="C428" s="13">
        <v>23937</v>
      </c>
      <c r="D428" s="13">
        <v>3030</v>
      </c>
      <c r="E428" s="13">
        <v>2849</v>
      </c>
      <c r="F428" s="13"/>
      <c r="G428" s="13">
        <v>603</v>
      </c>
      <c r="H428" s="13"/>
      <c r="I428" s="13">
        <v>355</v>
      </c>
      <c r="J428" s="13"/>
      <c r="K428" s="13"/>
      <c r="L428" s="13"/>
      <c r="M428" s="5"/>
    </row>
    <row r="429" spans="1:13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5"/>
    </row>
    <row r="430" spans="1:13">
      <c r="A430" s="33" t="s">
        <v>66</v>
      </c>
      <c r="B430" s="29"/>
      <c r="C430" s="32" t="s">
        <v>2638</v>
      </c>
      <c r="D430" s="32" t="s">
        <v>2638</v>
      </c>
      <c r="E430" s="32" t="s">
        <v>2854</v>
      </c>
      <c r="F430" s="29"/>
      <c r="G430" s="32"/>
      <c r="H430" s="32"/>
      <c r="I430" s="29" t="s">
        <v>2764</v>
      </c>
      <c r="J430" s="30">
        <v>18376</v>
      </c>
      <c r="K430" s="32" t="s">
        <v>2446</v>
      </c>
      <c r="L430" s="13"/>
      <c r="M430" s="5"/>
    </row>
    <row r="431" spans="1:13">
      <c r="A431" s="30"/>
      <c r="B431" s="30"/>
      <c r="C431" s="30">
        <v>29048</v>
      </c>
      <c r="D431" s="30">
        <v>4228</v>
      </c>
      <c r="E431" s="30">
        <v>2654</v>
      </c>
      <c r="F431" s="30"/>
      <c r="G431" s="30"/>
      <c r="H431" s="30"/>
      <c r="I431" s="30">
        <v>744</v>
      </c>
      <c r="J431" s="30"/>
      <c r="K431" s="30"/>
      <c r="L431" s="13"/>
      <c r="M431" s="5"/>
    </row>
    <row r="432" spans="1:13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5"/>
    </row>
    <row r="433" spans="1:13">
      <c r="A433" s="14" t="s">
        <v>74</v>
      </c>
      <c r="B433" s="15"/>
      <c r="C433" s="12" t="s">
        <v>2765</v>
      </c>
      <c r="D433" s="12" t="s">
        <v>2765</v>
      </c>
      <c r="E433" s="12"/>
      <c r="F433" s="15"/>
      <c r="G433" s="15"/>
      <c r="H433" s="15"/>
      <c r="I433" s="15" t="s">
        <v>2766</v>
      </c>
      <c r="J433" s="13">
        <v>17837</v>
      </c>
      <c r="K433" s="12" t="s">
        <v>1753</v>
      </c>
      <c r="L433" s="13"/>
      <c r="M433" s="5"/>
    </row>
    <row r="434" spans="1:13">
      <c r="A434" s="13"/>
      <c r="B434" s="13"/>
      <c r="C434" s="13">
        <v>26958</v>
      </c>
      <c r="D434" s="13">
        <v>5064</v>
      </c>
      <c r="E434" s="13"/>
      <c r="F434" s="13"/>
      <c r="G434" s="13"/>
      <c r="H434" s="13"/>
      <c r="I434" s="13">
        <v>961</v>
      </c>
      <c r="J434" s="13"/>
      <c r="K434" s="13"/>
      <c r="L434" s="13"/>
      <c r="M434" s="5"/>
    </row>
    <row r="435" spans="1:13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5"/>
    </row>
    <row r="436" spans="1:13">
      <c r="A436" s="33" t="s">
        <v>81</v>
      </c>
      <c r="B436" s="29" t="s">
        <v>2767</v>
      </c>
      <c r="C436" s="32" t="s">
        <v>2768</v>
      </c>
      <c r="D436" s="32" t="s">
        <v>2768</v>
      </c>
      <c r="E436" s="29" t="s">
        <v>2767</v>
      </c>
      <c r="F436" s="32"/>
      <c r="G436" s="32" t="s">
        <v>2768</v>
      </c>
      <c r="H436" s="32"/>
      <c r="I436" s="29" t="s">
        <v>2769</v>
      </c>
      <c r="J436" s="30">
        <v>3916</v>
      </c>
      <c r="K436" s="32" t="s">
        <v>2770</v>
      </c>
      <c r="L436" s="13"/>
      <c r="M436" s="5"/>
    </row>
    <row r="437" spans="1:13">
      <c r="A437" s="30"/>
      <c r="B437" s="30">
        <v>21091</v>
      </c>
      <c r="C437" s="30">
        <v>16530</v>
      </c>
      <c r="D437" s="30">
        <v>1535</v>
      </c>
      <c r="E437" s="30">
        <v>1156</v>
      </c>
      <c r="F437" s="30"/>
      <c r="G437" s="30">
        <v>1107</v>
      </c>
      <c r="H437" s="30"/>
      <c r="I437" s="30">
        <v>205</v>
      </c>
      <c r="J437" s="30"/>
      <c r="K437" s="30"/>
      <c r="L437" s="13"/>
      <c r="M437" s="5"/>
    </row>
    <row r="438" spans="1:13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5"/>
    </row>
    <row r="439" spans="1:13">
      <c r="A439" s="13" t="s">
        <v>86</v>
      </c>
      <c r="B439" s="15" t="s">
        <v>2771</v>
      </c>
      <c r="C439" s="15" t="s">
        <v>2772</v>
      </c>
      <c r="D439" s="15" t="s">
        <v>2772</v>
      </c>
      <c r="E439" s="15" t="s">
        <v>2772</v>
      </c>
      <c r="F439" s="15"/>
      <c r="G439" s="15" t="s">
        <v>2773</v>
      </c>
      <c r="H439" s="15"/>
      <c r="I439" s="15" t="s">
        <v>2774</v>
      </c>
      <c r="J439" s="13">
        <v>5380</v>
      </c>
      <c r="K439" s="15" t="s">
        <v>2225</v>
      </c>
      <c r="L439" s="13"/>
      <c r="M439" s="5"/>
    </row>
    <row r="440" spans="1:13">
      <c r="A440" s="14"/>
      <c r="B440" s="13">
        <v>17125</v>
      </c>
      <c r="C440" s="13">
        <v>22007</v>
      </c>
      <c r="D440" s="13">
        <v>2610</v>
      </c>
      <c r="E440" s="13">
        <v>1485</v>
      </c>
      <c r="F440" s="13"/>
      <c r="G440" s="13">
        <v>1452</v>
      </c>
      <c r="H440" s="13"/>
      <c r="I440" s="13">
        <v>666</v>
      </c>
      <c r="J440" s="13"/>
      <c r="K440" s="13"/>
      <c r="L440" s="13"/>
      <c r="M440" s="5"/>
    </row>
    <row r="441" spans="1:13">
      <c r="A441" s="13"/>
      <c r="B441" s="13"/>
      <c r="C441" s="13"/>
      <c r="D441" s="13"/>
      <c r="E441" s="13"/>
      <c r="F441" s="13"/>
      <c r="G441" s="13"/>
      <c r="H441" s="13"/>
      <c r="I441" s="15" t="s">
        <v>2775</v>
      </c>
      <c r="J441" s="13"/>
      <c r="K441" s="13"/>
      <c r="L441" s="13"/>
      <c r="M441" s="5"/>
    </row>
    <row r="442" spans="1:13">
      <c r="A442" s="13"/>
      <c r="B442" s="13"/>
      <c r="C442" s="13"/>
      <c r="D442" s="13"/>
      <c r="E442" s="13"/>
      <c r="F442" s="13"/>
      <c r="G442" s="13"/>
      <c r="H442" s="13"/>
      <c r="I442" s="13">
        <v>276</v>
      </c>
      <c r="J442" s="13"/>
      <c r="K442" s="14"/>
      <c r="L442" s="13"/>
      <c r="M442" s="5"/>
    </row>
    <row r="443" spans="1:13">
      <c r="A443" s="14"/>
      <c r="B443" s="13"/>
      <c r="C443" s="14"/>
      <c r="D443" s="13"/>
      <c r="E443" s="13"/>
      <c r="F443" s="13"/>
      <c r="G443" s="13"/>
      <c r="H443" s="13"/>
      <c r="I443" s="13"/>
      <c r="J443" s="13"/>
      <c r="K443" s="13"/>
      <c r="L443" s="13"/>
      <c r="M443" s="5"/>
    </row>
    <row r="444" spans="1:13">
      <c r="A444" s="30" t="s">
        <v>1576</v>
      </c>
      <c r="B444" s="29" t="s">
        <v>2776</v>
      </c>
      <c r="C444" s="32" t="s">
        <v>2777</v>
      </c>
      <c r="D444" s="29" t="s">
        <v>2776</v>
      </c>
      <c r="E444" s="29" t="s">
        <v>2776</v>
      </c>
      <c r="F444" s="29"/>
      <c r="G444" s="32" t="s">
        <v>2778</v>
      </c>
      <c r="H444" s="32"/>
      <c r="I444" s="32" t="s">
        <v>2779</v>
      </c>
      <c r="J444" s="30">
        <v>6005</v>
      </c>
      <c r="K444" s="29" t="s">
        <v>2780</v>
      </c>
      <c r="L444" s="13"/>
      <c r="M444" s="5"/>
    </row>
    <row r="445" spans="1:13">
      <c r="A445" s="30"/>
      <c r="B445" s="30">
        <v>32916</v>
      </c>
      <c r="C445" s="30">
        <v>10629</v>
      </c>
      <c r="D445" s="30">
        <v>3135</v>
      </c>
      <c r="E445" s="30">
        <v>1556</v>
      </c>
      <c r="F445" s="30"/>
      <c r="G445" s="30">
        <v>1024</v>
      </c>
      <c r="H445" s="30"/>
      <c r="I445" s="30">
        <v>187</v>
      </c>
      <c r="J445" s="30"/>
      <c r="K445" s="33"/>
      <c r="L445" s="13"/>
      <c r="M445" s="5"/>
    </row>
    <row r="446" spans="1:1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4"/>
      <c r="L446" s="13"/>
      <c r="M446" s="5"/>
    </row>
    <row r="447" spans="1:13">
      <c r="A447" s="14" t="s">
        <v>100</v>
      </c>
      <c r="B447" s="15" t="s">
        <v>2781</v>
      </c>
      <c r="C447" s="12" t="s">
        <v>2638</v>
      </c>
      <c r="D447" s="15"/>
      <c r="E447" s="15"/>
      <c r="F447" s="15" t="s">
        <v>2781</v>
      </c>
      <c r="G447" s="15"/>
      <c r="H447" s="15"/>
      <c r="I447" s="15" t="s">
        <v>2764</v>
      </c>
      <c r="J447" s="13">
        <v>3597</v>
      </c>
      <c r="K447" s="15" t="s">
        <v>2228</v>
      </c>
      <c r="L447" s="13"/>
      <c r="M447" s="5"/>
    </row>
    <row r="448" spans="1:13">
      <c r="A448" s="13"/>
      <c r="B448" s="13">
        <v>30306</v>
      </c>
      <c r="C448" s="13">
        <v>2846</v>
      </c>
      <c r="D448" s="13"/>
      <c r="E448" s="13"/>
      <c r="F448" s="13">
        <v>729</v>
      </c>
      <c r="G448" s="13"/>
      <c r="H448" s="13"/>
      <c r="I448" s="13">
        <v>163</v>
      </c>
      <c r="J448" s="13"/>
      <c r="K448" s="13"/>
      <c r="L448" s="13"/>
      <c r="M448" s="5"/>
    </row>
    <row r="449" spans="1:1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4"/>
      <c r="L449" s="13"/>
      <c r="M449" s="5"/>
    </row>
    <row r="450" spans="1:13">
      <c r="A450" s="33" t="s">
        <v>105</v>
      </c>
      <c r="B450" s="29" t="s">
        <v>2782</v>
      </c>
      <c r="C450" s="32" t="s">
        <v>2783</v>
      </c>
      <c r="D450" s="32" t="s">
        <v>2783</v>
      </c>
      <c r="E450" s="32" t="s">
        <v>2783</v>
      </c>
      <c r="F450" s="29"/>
      <c r="G450" s="32"/>
      <c r="H450" s="32"/>
      <c r="I450" s="29" t="s">
        <v>2784</v>
      </c>
      <c r="J450" s="30">
        <v>5709</v>
      </c>
      <c r="K450" s="29" t="s">
        <v>2785</v>
      </c>
      <c r="L450" s="13"/>
      <c r="M450" s="5"/>
    </row>
    <row r="451" spans="1:13">
      <c r="A451" s="30"/>
      <c r="B451" s="30">
        <v>25404</v>
      </c>
      <c r="C451" s="30">
        <v>23910</v>
      </c>
      <c r="D451" s="30">
        <v>2585</v>
      </c>
      <c r="E451" s="30">
        <v>891</v>
      </c>
      <c r="F451" s="30"/>
      <c r="G451" s="30"/>
      <c r="H451" s="30"/>
      <c r="I451" s="30">
        <v>258</v>
      </c>
      <c r="J451" s="30"/>
      <c r="K451" s="30"/>
      <c r="L451" s="13"/>
      <c r="M451" s="5"/>
    </row>
    <row r="452" spans="1:13">
      <c r="A452" s="13"/>
      <c r="B452" s="13"/>
      <c r="C452" s="13"/>
      <c r="D452" s="13"/>
      <c r="E452" s="13"/>
      <c r="F452" s="14"/>
      <c r="G452" s="13"/>
      <c r="H452" s="13"/>
      <c r="I452" s="13"/>
      <c r="J452" s="13"/>
      <c r="K452" s="13"/>
      <c r="L452" s="13"/>
      <c r="M452" s="5"/>
    </row>
    <row r="453" spans="1:13">
      <c r="A453" s="13" t="s">
        <v>115</v>
      </c>
      <c r="B453" s="15" t="s">
        <v>2786</v>
      </c>
      <c r="C453" s="15" t="s">
        <v>2787</v>
      </c>
      <c r="D453" s="15" t="s">
        <v>2786</v>
      </c>
      <c r="E453" s="15" t="s">
        <v>2787</v>
      </c>
      <c r="F453" s="15"/>
      <c r="G453" s="15" t="s">
        <v>2787</v>
      </c>
      <c r="H453" s="15"/>
      <c r="I453" s="15" t="s">
        <v>2788</v>
      </c>
      <c r="J453" s="13">
        <v>7590</v>
      </c>
      <c r="K453" s="12" t="s">
        <v>1760</v>
      </c>
      <c r="L453" s="13"/>
      <c r="M453" s="5"/>
    </row>
    <row r="454" spans="1:13">
      <c r="A454" s="14"/>
      <c r="B454" s="13">
        <v>27759</v>
      </c>
      <c r="C454" s="13">
        <v>8066</v>
      </c>
      <c r="D454" s="13">
        <v>2634</v>
      </c>
      <c r="E454" s="13">
        <v>831</v>
      </c>
      <c r="F454" s="13"/>
      <c r="G454" s="13">
        <v>915</v>
      </c>
      <c r="H454" s="13"/>
      <c r="I454" s="13">
        <v>135</v>
      </c>
      <c r="J454" s="13"/>
      <c r="K454" s="13"/>
      <c r="L454" s="13"/>
      <c r="M454" s="5"/>
    </row>
    <row r="455" spans="1:13">
      <c r="A455" s="14"/>
      <c r="B455" s="13"/>
      <c r="C455" s="14"/>
      <c r="D455" s="13"/>
      <c r="E455" s="13"/>
      <c r="F455" s="14"/>
      <c r="G455" s="13"/>
      <c r="H455" s="13"/>
      <c r="I455" s="13"/>
      <c r="J455" s="13"/>
      <c r="K455" s="13"/>
      <c r="L455" s="13"/>
      <c r="M455" s="5"/>
    </row>
    <row r="456" spans="1:13">
      <c r="A456" s="30" t="s">
        <v>123</v>
      </c>
      <c r="B456" s="29" t="s">
        <v>2789</v>
      </c>
      <c r="C456" s="32" t="s">
        <v>2790</v>
      </c>
      <c r="D456" s="29"/>
      <c r="E456" s="29"/>
      <c r="F456" s="29" t="s">
        <v>2789</v>
      </c>
      <c r="G456" s="29"/>
      <c r="H456" s="29"/>
      <c r="I456" s="29" t="s">
        <v>2791</v>
      </c>
      <c r="J456" s="30">
        <v>6162</v>
      </c>
      <c r="K456" s="29" t="s">
        <v>1257</v>
      </c>
      <c r="L456" s="13"/>
      <c r="M456" s="5"/>
    </row>
    <row r="457" spans="1:13">
      <c r="A457" s="30"/>
      <c r="B457" s="30">
        <v>25949</v>
      </c>
      <c r="C457" s="30">
        <v>6801</v>
      </c>
      <c r="D457" s="30"/>
      <c r="E457" s="30"/>
      <c r="F457" s="30">
        <v>1319</v>
      </c>
      <c r="G457" s="30"/>
      <c r="H457" s="30"/>
      <c r="I457" s="30">
        <v>263</v>
      </c>
      <c r="J457" s="30"/>
      <c r="K457" s="33"/>
      <c r="L457" s="13"/>
      <c r="M457" s="5"/>
    </row>
    <row r="458" spans="1:13">
      <c r="A458" s="14"/>
      <c r="B458" s="13"/>
      <c r="C458" s="14"/>
      <c r="D458" s="13"/>
      <c r="E458" s="13"/>
      <c r="F458" s="13"/>
      <c r="G458" s="14"/>
      <c r="H458" s="14"/>
      <c r="I458" s="13"/>
      <c r="J458" s="13"/>
      <c r="K458" s="13"/>
      <c r="L458" s="13"/>
      <c r="M458" s="5"/>
    </row>
    <row r="459" spans="1:13">
      <c r="A459" s="13" t="s">
        <v>129</v>
      </c>
      <c r="B459" s="15" t="s">
        <v>2792</v>
      </c>
      <c r="C459" s="12" t="s">
        <v>2793</v>
      </c>
      <c r="D459" s="15" t="s">
        <v>2794</v>
      </c>
      <c r="E459" s="15" t="s">
        <v>2855</v>
      </c>
      <c r="F459" s="15"/>
      <c r="G459" s="15"/>
      <c r="H459" s="15"/>
      <c r="I459" s="15" t="s">
        <v>2795</v>
      </c>
      <c r="J459" s="13">
        <v>6712</v>
      </c>
      <c r="K459" s="15" t="s">
        <v>2796</v>
      </c>
      <c r="L459" s="13"/>
      <c r="M459" s="5"/>
    </row>
    <row r="460" spans="1:13">
      <c r="A460" s="13"/>
      <c r="B460" s="13">
        <v>22459</v>
      </c>
      <c r="C460" s="13">
        <v>21132</v>
      </c>
      <c r="D460" s="13">
        <v>2852</v>
      </c>
      <c r="E460" s="13">
        <v>1994</v>
      </c>
      <c r="F460" s="13"/>
      <c r="G460" s="13"/>
      <c r="H460" s="13"/>
      <c r="I460" s="13">
        <v>349</v>
      </c>
      <c r="J460" s="13"/>
      <c r="K460" s="14"/>
      <c r="L460" s="13"/>
      <c r="M460" s="5"/>
    </row>
    <row r="461" spans="1:13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4"/>
      <c r="L461" s="13"/>
      <c r="M461" s="5"/>
    </row>
    <row r="462" spans="1:13">
      <c r="A462" s="33" t="s">
        <v>135</v>
      </c>
      <c r="B462" s="29" t="s">
        <v>2797</v>
      </c>
      <c r="C462" s="32" t="s">
        <v>2798</v>
      </c>
      <c r="D462" s="29" t="s">
        <v>2799</v>
      </c>
      <c r="E462" s="29" t="s">
        <v>2856</v>
      </c>
      <c r="F462" s="29"/>
      <c r="G462" s="29"/>
      <c r="H462" s="29"/>
      <c r="I462" s="29" t="s">
        <v>2800</v>
      </c>
      <c r="J462" s="30">
        <v>8009</v>
      </c>
      <c r="K462" s="29" t="s">
        <v>1968</v>
      </c>
      <c r="L462" s="13"/>
      <c r="M462" s="5"/>
    </row>
    <row r="463" spans="1:13">
      <c r="A463" s="30"/>
      <c r="B463" s="30">
        <v>24472</v>
      </c>
      <c r="C463" s="30">
        <v>15090</v>
      </c>
      <c r="D463" s="30">
        <v>3653</v>
      </c>
      <c r="E463" s="30">
        <v>1583</v>
      </c>
      <c r="F463" s="30"/>
      <c r="G463" s="30"/>
      <c r="H463" s="30"/>
      <c r="I463" s="30">
        <v>322</v>
      </c>
      <c r="J463" s="30"/>
      <c r="K463" s="30"/>
      <c r="L463" s="13"/>
      <c r="M463" s="5"/>
    </row>
    <row r="464" spans="1:13">
      <c r="A464" s="13"/>
      <c r="B464" s="13"/>
      <c r="C464" s="14"/>
      <c r="D464" s="13"/>
      <c r="E464" s="13"/>
      <c r="F464" s="13"/>
      <c r="G464" s="13"/>
      <c r="H464" s="13"/>
      <c r="I464" s="13"/>
      <c r="J464" s="13"/>
      <c r="K464" s="13"/>
      <c r="L464" s="13"/>
      <c r="M464" s="5"/>
    </row>
    <row r="465" spans="1:13">
      <c r="A465" s="13" t="s">
        <v>143</v>
      </c>
      <c r="B465" s="15"/>
      <c r="C465" s="15" t="s">
        <v>2801</v>
      </c>
      <c r="D465" s="15" t="s">
        <v>2801</v>
      </c>
      <c r="E465" s="15" t="s">
        <v>2801</v>
      </c>
      <c r="F465" s="15"/>
      <c r="G465" s="15"/>
      <c r="H465" s="15"/>
      <c r="I465" s="15" t="s">
        <v>2802</v>
      </c>
      <c r="J465" s="13">
        <v>15865</v>
      </c>
      <c r="K465" s="12" t="s">
        <v>2803</v>
      </c>
      <c r="L465" s="13"/>
      <c r="M465" s="5"/>
    </row>
    <row r="466" spans="1:13">
      <c r="A466" s="13"/>
      <c r="B466" s="13"/>
      <c r="C466" s="13">
        <v>25110</v>
      </c>
      <c r="D466" s="13">
        <v>3878</v>
      </c>
      <c r="E466" s="13">
        <v>2327</v>
      </c>
      <c r="F466" s="13"/>
      <c r="G466" s="13"/>
      <c r="H466" s="13"/>
      <c r="I466" s="13">
        <v>635</v>
      </c>
      <c r="J466" s="13"/>
      <c r="K466" s="13"/>
      <c r="L466" s="13"/>
      <c r="M466" s="5"/>
    </row>
    <row r="467" spans="1:1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5"/>
    </row>
    <row r="468" spans="1:13">
      <c r="A468" s="30" t="s">
        <v>149</v>
      </c>
      <c r="B468" s="29" t="s">
        <v>2758</v>
      </c>
      <c r="C468" s="29" t="s">
        <v>2804</v>
      </c>
      <c r="D468" s="29" t="s">
        <v>2804</v>
      </c>
      <c r="E468" s="29" t="s">
        <v>2804</v>
      </c>
      <c r="F468" s="29"/>
      <c r="G468" s="29" t="s">
        <v>2805</v>
      </c>
      <c r="H468" s="29"/>
      <c r="I468" s="29" t="s">
        <v>2806</v>
      </c>
      <c r="J468" s="30">
        <v>6974</v>
      </c>
      <c r="K468" s="29" t="s">
        <v>2807</v>
      </c>
      <c r="L468" s="13"/>
      <c r="M468" s="5"/>
    </row>
    <row r="469" spans="1:13">
      <c r="A469" s="30"/>
      <c r="B469" s="30">
        <v>21027</v>
      </c>
      <c r="C469" s="30">
        <v>25537</v>
      </c>
      <c r="D469" s="30">
        <v>3301</v>
      </c>
      <c r="E469" s="30">
        <v>1836</v>
      </c>
      <c r="F469" s="30"/>
      <c r="G469" s="30">
        <v>1937</v>
      </c>
      <c r="H469" s="30"/>
      <c r="I469" s="30">
        <v>307</v>
      </c>
      <c r="J469" s="30"/>
      <c r="K469" s="30"/>
      <c r="L469" s="13"/>
      <c r="M469" s="5"/>
    </row>
    <row r="470" spans="1:13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5"/>
    </row>
    <row r="471" spans="1:13">
      <c r="A471" s="13" t="s">
        <v>155</v>
      </c>
      <c r="B471" s="15"/>
      <c r="C471" s="15" t="s">
        <v>2808</v>
      </c>
      <c r="D471" s="15" t="s">
        <v>2808</v>
      </c>
      <c r="E471" s="15"/>
      <c r="F471" s="15"/>
      <c r="G471" s="15"/>
      <c r="H471" s="15"/>
      <c r="I471" s="15" t="s">
        <v>2809</v>
      </c>
      <c r="J471" s="13">
        <v>14240</v>
      </c>
      <c r="K471" s="15" t="s">
        <v>2810</v>
      </c>
      <c r="L471" s="13"/>
      <c r="M471" s="5"/>
    </row>
    <row r="472" spans="1:13">
      <c r="A472" s="13"/>
      <c r="B472" s="13"/>
      <c r="C472" s="13">
        <v>25262</v>
      </c>
      <c r="D472" s="13">
        <v>4400</v>
      </c>
      <c r="E472" s="13"/>
      <c r="F472" s="13"/>
      <c r="G472" s="13"/>
      <c r="H472" s="13"/>
      <c r="I472" s="13">
        <v>1255</v>
      </c>
      <c r="J472" s="13"/>
      <c r="K472" s="13"/>
      <c r="L472" s="13"/>
      <c r="M472" s="5"/>
    </row>
    <row r="473" spans="1:13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5"/>
    </row>
    <row r="474" spans="1:13">
      <c r="A474" s="30" t="s">
        <v>162</v>
      </c>
      <c r="B474" s="29" t="s">
        <v>2811</v>
      </c>
      <c r="C474" s="29" t="s">
        <v>2812</v>
      </c>
      <c r="D474" s="29" t="s">
        <v>2812</v>
      </c>
      <c r="E474" s="29" t="s">
        <v>1430</v>
      </c>
      <c r="F474" s="29"/>
      <c r="G474" s="29"/>
      <c r="H474" s="29"/>
      <c r="I474" s="29" t="s">
        <v>2813</v>
      </c>
      <c r="J474" s="30">
        <v>4055</v>
      </c>
      <c r="K474" s="29" t="s">
        <v>1431</v>
      </c>
      <c r="L474" s="13"/>
      <c r="M474" s="5"/>
    </row>
    <row r="475" spans="1:13">
      <c r="A475" s="30"/>
      <c r="B475" s="30">
        <v>25577</v>
      </c>
      <c r="C475" s="30">
        <v>12539</v>
      </c>
      <c r="D475" s="30">
        <v>1957</v>
      </c>
      <c r="E475" s="30">
        <v>2963</v>
      </c>
      <c r="F475" s="30"/>
      <c r="G475" s="30"/>
      <c r="H475" s="30"/>
      <c r="I475" s="30">
        <v>428</v>
      </c>
      <c r="J475" s="30"/>
      <c r="K475" s="30"/>
      <c r="L475" s="13"/>
      <c r="M475" s="5"/>
    </row>
    <row r="476" spans="1:13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13"/>
      <c r="M476" s="5"/>
    </row>
    <row r="477" spans="1:13">
      <c r="A477" s="13" t="s">
        <v>171</v>
      </c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5"/>
    </row>
    <row r="478" spans="1:13">
      <c r="A478" s="13" t="s">
        <v>2814</v>
      </c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5"/>
    </row>
    <row r="479" spans="1:13">
      <c r="A479" s="13" t="s">
        <v>2815</v>
      </c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5"/>
    </row>
    <row r="480" spans="1:13">
      <c r="A480" s="13" t="s">
        <v>2463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5"/>
    </row>
    <row r="481" spans="1:13">
      <c r="A481" s="13" t="s">
        <v>2816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5"/>
    </row>
    <row r="482" spans="1:13">
      <c r="A482" s="13" t="s">
        <v>2817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5"/>
    </row>
    <row r="483" spans="1:13">
      <c r="A483" s="13" t="s">
        <v>2818</v>
      </c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5"/>
    </row>
    <row r="484" spans="1:13">
      <c r="A484" s="13" t="s">
        <v>2819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5"/>
    </row>
    <row r="485" spans="1:13">
      <c r="A485" s="13" t="s">
        <v>2820</v>
      </c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5"/>
    </row>
    <row r="486" spans="1:13">
      <c r="A486" s="13" t="s">
        <v>2821</v>
      </c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5"/>
    </row>
    <row r="487" spans="1:13">
      <c r="A487" s="13" t="s">
        <v>2822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5"/>
    </row>
    <row r="488" spans="1:13">
      <c r="A488" s="13" t="s">
        <v>2823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5"/>
    </row>
    <row r="489" spans="1:13">
      <c r="A489" s="13" t="s">
        <v>2824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5"/>
    </row>
    <row r="490" spans="1:13">
      <c r="A490" s="13" t="s">
        <v>2825</v>
      </c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5"/>
    </row>
    <row r="491" spans="1:13">
      <c r="A491" s="13" t="s">
        <v>2826</v>
      </c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5"/>
    </row>
    <row r="492" spans="1:13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5"/>
    </row>
    <row r="493" spans="1:13">
      <c r="A493" s="56" t="s">
        <v>1597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5"/>
    </row>
    <row r="494" spans="1: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</sheetData>
  <hyperlinks>
    <hyperlink ref="A493" r:id="rId1"/>
  </hyperlinks>
  <pageMargins left="0.7" right="0.7" top="0.75" bottom="0.75" header="0.3" footer="0.3"/>
  <pageSetup scale="54" fitToHeight="1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3"/>
  <sheetViews>
    <sheetView workbookViewId="0"/>
  </sheetViews>
  <sheetFormatPr defaultRowHeight="15.75"/>
  <cols>
    <col min="1" max="1" width="25.77734375" style="1" customWidth="1"/>
    <col min="2" max="12" width="15.77734375" style="1" customWidth="1"/>
    <col min="13" max="13" width="26.88671875" style="1" customWidth="1"/>
    <col min="14" max="16384" width="8.88671875" style="1"/>
  </cols>
  <sheetData>
    <row r="1" spans="1:16" ht="20.25">
      <c r="A1" s="22" t="s">
        <v>0</v>
      </c>
      <c r="B1" s="8"/>
      <c r="C1" s="8"/>
      <c r="D1" s="8"/>
      <c r="E1" s="8"/>
      <c r="F1" s="9"/>
      <c r="G1" s="9"/>
      <c r="H1" s="9"/>
      <c r="I1" s="9"/>
      <c r="J1" s="9"/>
      <c r="K1" s="7"/>
      <c r="L1" s="5"/>
      <c r="M1" s="5"/>
      <c r="N1" s="5"/>
      <c r="O1" s="3"/>
    </row>
    <row r="2" spans="1:16" ht="20.25">
      <c r="A2" s="23" t="s">
        <v>2884</v>
      </c>
      <c r="B2" s="8"/>
      <c r="C2" s="8"/>
      <c r="D2" s="5"/>
      <c r="E2" s="5"/>
      <c r="F2" s="5"/>
      <c r="G2" s="5"/>
      <c r="H2" s="5"/>
      <c r="I2" s="5"/>
      <c r="J2" s="5"/>
      <c r="K2" s="6"/>
      <c r="L2" s="5"/>
      <c r="M2" s="5"/>
      <c r="N2" s="5"/>
      <c r="O2" s="3"/>
    </row>
    <row r="3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3"/>
    </row>
    <row r="4" spans="1:16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6" t="s">
        <v>583</v>
      </c>
      <c r="H4" s="26" t="s">
        <v>584</v>
      </c>
      <c r="I4" s="26" t="s">
        <v>585</v>
      </c>
      <c r="J4" s="26" t="s">
        <v>586</v>
      </c>
      <c r="K4" s="25" t="s">
        <v>580</v>
      </c>
      <c r="L4" s="27" t="s">
        <v>582</v>
      </c>
      <c r="M4" s="25" t="s">
        <v>2</v>
      </c>
      <c r="N4" s="5"/>
      <c r="O4" s="3"/>
    </row>
    <row r="5" spans="1:1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"/>
    </row>
    <row r="6" spans="1:16">
      <c r="A6" s="11" t="s">
        <v>3</v>
      </c>
      <c r="B6" s="12" t="s">
        <v>216</v>
      </c>
      <c r="C6" s="12" t="s">
        <v>397</v>
      </c>
      <c r="D6" s="12" t="s">
        <v>216</v>
      </c>
      <c r="E6" s="12"/>
      <c r="F6" s="12" t="s">
        <v>216</v>
      </c>
      <c r="G6" s="12" t="s">
        <v>216</v>
      </c>
      <c r="H6" s="12"/>
      <c r="I6" s="12"/>
      <c r="J6" s="12"/>
      <c r="K6" s="12"/>
      <c r="L6" s="13">
        <f>6718+29+67</f>
        <v>6814</v>
      </c>
      <c r="M6" s="12" t="s">
        <v>11</v>
      </c>
      <c r="N6" s="13">
        <f>SUM(B6:L7)</f>
        <v>63340</v>
      </c>
      <c r="O6" s="4"/>
      <c r="P6" s="2"/>
    </row>
    <row r="7" spans="1:16">
      <c r="A7" s="5"/>
      <c r="B7" s="13">
        <v>30803</v>
      </c>
      <c r="C7" s="13">
        <v>21280</v>
      </c>
      <c r="D7" s="13">
        <v>2243</v>
      </c>
      <c r="E7" s="13"/>
      <c r="F7" s="13">
        <v>1772</v>
      </c>
      <c r="G7" s="13">
        <v>428</v>
      </c>
      <c r="H7" s="13"/>
      <c r="I7" s="13"/>
      <c r="J7" s="13"/>
      <c r="K7" s="13"/>
      <c r="L7" s="13"/>
      <c r="M7" s="14"/>
      <c r="N7" s="13"/>
      <c r="O7" s="4"/>
      <c r="P7" s="2"/>
    </row>
    <row r="8" spans="1:16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4"/>
      <c r="P8" s="2"/>
    </row>
    <row r="9" spans="1:16">
      <c r="A9" s="28" t="s">
        <v>10</v>
      </c>
      <c r="B9" s="29" t="s">
        <v>451</v>
      </c>
      <c r="C9" s="29" t="s">
        <v>392</v>
      </c>
      <c r="D9" s="29" t="s">
        <v>398</v>
      </c>
      <c r="E9" s="29" t="s">
        <v>392</v>
      </c>
      <c r="F9" s="29"/>
      <c r="G9" s="29"/>
      <c r="H9" s="29" t="s">
        <v>392</v>
      </c>
      <c r="I9" s="29"/>
      <c r="J9" s="29"/>
      <c r="K9" s="29"/>
      <c r="L9" s="30">
        <f>6794+11+33</f>
        <v>6838</v>
      </c>
      <c r="M9" s="29" t="s">
        <v>393</v>
      </c>
      <c r="N9" s="13">
        <f>SUM(B9:L10)</f>
        <v>66208</v>
      </c>
      <c r="O9" s="4"/>
      <c r="P9" s="2"/>
    </row>
    <row r="10" spans="1:16">
      <c r="A10" s="31"/>
      <c r="B10" s="30">
        <v>19575</v>
      </c>
      <c r="C10" s="30">
        <v>32636</v>
      </c>
      <c r="D10" s="30">
        <v>1724</v>
      </c>
      <c r="E10" s="30">
        <v>5235</v>
      </c>
      <c r="F10" s="30"/>
      <c r="G10" s="30"/>
      <c r="H10" s="30">
        <v>200</v>
      </c>
      <c r="I10" s="30"/>
      <c r="J10" s="30"/>
      <c r="K10" s="30"/>
      <c r="L10" s="30"/>
      <c r="M10" s="30"/>
      <c r="N10" s="13"/>
      <c r="O10" s="4"/>
      <c r="P10" s="2"/>
    </row>
    <row r="11" spans="1:16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"/>
      <c r="P11" s="2"/>
    </row>
    <row r="12" spans="1:16">
      <c r="A12" s="11" t="s">
        <v>16</v>
      </c>
      <c r="B12" s="12" t="s">
        <v>452</v>
      </c>
      <c r="C12" s="12" t="s">
        <v>285</v>
      </c>
      <c r="D12" s="12" t="s">
        <v>285</v>
      </c>
      <c r="E12" s="12" t="s">
        <v>285</v>
      </c>
      <c r="F12" s="12"/>
      <c r="G12" s="12"/>
      <c r="H12" s="12" t="s">
        <v>285</v>
      </c>
      <c r="I12" s="12"/>
      <c r="J12" s="12"/>
      <c r="K12" s="12"/>
      <c r="L12" s="13">
        <f>6108+7+20</f>
        <v>6135</v>
      </c>
      <c r="M12" s="12" t="s">
        <v>399</v>
      </c>
      <c r="N12" s="13">
        <f>SUM(B12:L13)</f>
        <v>52626</v>
      </c>
      <c r="O12" s="4"/>
      <c r="P12" s="2"/>
    </row>
    <row r="13" spans="1:16">
      <c r="A13" s="5"/>
      <c r="B13" s="13">
        <v>17404</v>
      </c>
      <c r="C13" s="13">
        <v>23957</v>
      </c>
      <c r="D13" s="13">
        <v>1401</v>
      </c>
      <c r="E13" s="13">
        <v>3560</v>
      </c>
      <c r="F13" s="13"/>
      <c r="G13" s="13"/>
      <c r="H13" s="13">
        <v>169</v>
      </c>
      <c r="I13" s="13"/>
      <c r="J13" s="13"/>
      <c r="K13" s="13"/>
      <c r="L13" s="13"/>
      <c r="M13" s="14"/>
      <c r="N13" s="13"/>
      <c r="O13" s="4"/>
      <c r="P13" s="2"/>
    </row>
    <row r="14" spans="1:16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4"/>
      <c r="P14" s="2"/>
    </row>
    <row r="15" spans="1:16">
      <c r="A15" s="28" t="s">
        <v>26</v>
      </c>
      <c r="B15" s="32" t="s">
        <v>187</v>
      </c>
      <c r="C15" s="32" t="s">
        <v>453</v>
      </c>
      <c r="D15" s="32" t="s">
        <v>198</v>
      </c>
      <c r="E15" s="32" t="s">
        <v>453</v>
      </c>
      <c r="F15" s="32" t="s">
        <v>198</v>
      </c>
      <c r="G15" s="32"/>
      <c r="H15" s="32"/>
      <c r="I15" s="32"/>
      <c r="J15" s="32"/>
      <c r="K15" s="32"/>
      <c r="L15" s="30">
        <f>5813+12+31</f>
        <v>5856</v>
      </c>
      <c r="M15" s="32" t="s">
        <v>27</v>
      </c>
      <c r="N15" s="13">
        <f>SUM(B15:L16)</f>
        <v>59791</v>
      </c>
      <c r="O15" s="4"/>
      <c r="P15" s="2"/>
    </row>
    <row r="16" spans="1:16">
      <c r="A16" s="31"/>
      <c r="B16" s="30">
        <v>29051</v>
      </c>
      <c r="C16" s="30">
        <v>18811</v>
      </c>
      <c r="D16" s="30">
        <v>1490</v>
      </c>
      <c r="E16" s="32">
        <v>3183</v>
      </c>
      <c r="F16" s="32">
        <v>1400</v>
      </c>
      <c r="G16" s="32"/>
      <c r="H16" s="32"/>
      <c r="I16" s="32"/>
      <c r="J16" s="32"/>
      <c r="K16" s="30"/>
      <c r="L16" s="30"/>
      <c r="M16" s="33"/>
      <c r="N16" s="13"/>
      <c r="O16" s="4"/>
      <c r="P16" s="2"/>
    </row>
    <row r="17" spans="1:16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4"/>
      <c r="P17" s="2"/>
    </row>
    <row r="18" spans="1:16">
      <c r="A18" s="11" t="s">
        <v>40</v>
      </c>
      <c r="B18" s="12" t="s">
        <v>400</v>
      </c>
      <c r="C18" s="12" t="s">
        <v>286</v>
      </c>
      <c r="D18" s="12" t="s">
        <v>286</v>
      </c>
      <c r="E18" s="12" t="s">
        <v>286</v>
      </c>
      <c r="F18" s="12"/>
      <c r="G18" s="12"/>
      <c r="H18" s="12" t="s">
        <v>286</v>
      </c>
      <c r="I18" s="12"/>
      <c r="J18" s="12" t="s">
        <v>587</v>
      </c>
      <c r="K18" s="12"/>
      <c r="L18" s="13">
        <f>6983+16+26</f>
        <v>7025</v>
      </c>
      <c r="M18" s="12" t="s">
        <v>287</v>
      </c>
      <c r="N18" s="13">
        <f>SUM(B18:L19)</f>
        <v>59546</v>
      </c>
      <c r="O18" s="4"/>
      <c r="P18" s="2"/>
    </row>
    <row r="19" spans="1:16">
      <c r="A19" s="5"/>
      <c r="B19" s="13">
        <v>18313</v>
      </c>
      <c r="C19" s="13">
        <v>27949</v>
      </c>
      <c r="D19" s="13">
        <v>1190</v>
      </c>
      <c r="E19" s="13">
        <v>4097</v>
      </c>
      <c r="F19" s="13"/>
      <c r="G19" s="13"/>
      <c r="H19" s="13">
        <v>148</v>
      </c>
      <c r="I19" s="13"/>
      <c r="J19" s="13">
        <v>824</v>
      </c>
      <c r="K19" s="13"/>
      <c r="L19" s="13"/>
      <c r="M19" s="14"/>
      <c r="N19" s="13"/>
      <c r="O19" s="4"/>
      <c r="P19" s="2"/>
    </row>
    <row r="20" spans="1:16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13"/>
      <c r="O20" s="4"/>
      <c r="P20" s="2"/>
    </row>
    <row r="21" spans="1:16" ht="17.25">
      <c r="A21" s="11" t="s">
        <v>2857</v>
      </c>
      <c r="B21" s="12" t="s">
        <v>400</v>
      </c>
      <c r="C21" s="15" t="s">
        <v>587</v>
      </c>
      <c r="D21" s="15" t="s">
        <v>587</v>
      </c>
      <c r="E21" s="15" t="s">
        <v>587</v>
      </c>
      <c r="F21" s="15"/>
      <c r="G21" s="15"/>
      <c r="H21" s="15" t="s">
        <v>587</v>
      </c>
      <c r="I21" s="15"/>
      <c r="J21" s="15"/>
      <c r="K21" s="15"/>
      <c r="L21" s="15">
        <f>1+1+5</f>
        <v>7</v>
      </c>
      <c r="M21" s="12" t="s">
        <v>2858</v>
      </c>
      <c r="N21" s="13">
        <f>SUM(B21:L22)</f>
        <v>4805</v>
      </c>
      <c r="O21" s="4"/>
      <c r="P21" s="2"/>
    </row>
    <row r="22" spans="1:16">
      <c r="A22" s="5"/>
      <c r="B22" s="13">
        <v>1767</v>
      </c>
      <c r="C22" s="13">
        <v>2212</v>
      </c>
      <c r="D22" s="13">
        <v>177</v>
      </c>
      <c r="E22" s="13">
        <v>621</v>
      </c>
      <c r="F22" s="13"/>
      <c r="G22" s="13"/>
      <c r="H22" s="13">
        <v>21</v>
      </c>
      <c r="I22" s="13"/>
      <c r="J22" s="13"/>
      <c r="K22" s="13"/>
      <c r="L22" s="13"/>
      <c r="M22" s="14"/>
      <c r="N22" s="13"/>
      <c r="O22" s="4"/>
      <c r="P22" s="2"/>
    </row>
    <row r="23" spans="1:16">
      <c r="A23" s="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4"/>
      <c r="P23" s="2"/>
    </row>
    <row r="24" spans="1:16">
      <c r="A24" s="28" t="s">
        <v>52</v>
      </c>
      <c r="B24" s="32" t="s">
        <v>217</v>
      </c>
      <c r="C24" s="32"/>
      <c r="D24" s="32" t="s">
        <v>217</v>
      </c>
      <c r="E24" s="32"/>
      <c r="F24" s="32" t="s">
        <v>217</v>
      </c>
      <c r="G24" s="32"/>
      <c r="H24" s="32"/>
      <c r="I24" s="32"/>
      <c r="J24" s="32"/>
      <c r="K24" s="29"/>
      <c r="L24" s="30">
        <f>8438+1+89</f>
        <v>8528</v>
      </c>
      <c r="M24" s="32" t="s">
        <v>218</v>
      </c>
      <c r="N24" s="13">
        <f>SUM(B24:L25)</f>
        <v>35348</v>
      </c>
      <c r="O24" s="4"/>
      <c r="P24" s="2"/>
    </row>
    <row r="25" spans="1:16">
      <c r="A25" s="31"/>
      <c r="B25" s="30">
        <v>24201</v>
      </c>
      <c r="C25" s="30"/>
      <c r="D25" s="30">
        <v>1046</v>
      </c>
      <c r="E25" s="30"/>
      <c r="F25" s="30">
        <v>1573</v>
      </c>
      <c r="G25" s="30"/>
      <c r="H25" s="30"/>
      <c r="I25" s="30"/>
      <c r="J25" s="30"/>
      <c r="K25" s="30"/>
      <c r="L25" s="30"/>
      <c r="M25" s="33"/>
      <c r="N25" s="13"/>
      <c r="O25" s="4"/>
      <c r="P25" s="2"/>
    </row>
    <row r="26" spans="1:16">
      <c r="A26" s="5"/>
      <c r="B26" s="16"/>
      <c r="C26" s="16"/>
      <c r="D26" s="16"/>
      <c r="E26" s="16"/>
      <c r="F26" s="16"/>
      <c r="G26" s="16"/>
      <c r="H26" s="16"/>
      <c r="I26" s="16"/>
      <c r="J26" s="16"/>
      <c r="K26" s="13"/>
      <c r="L26" s="13"/>
      <c r="M26" s="13"/>
      <c r="N26" s="13"/>
      <c r="O26" s="4"/>
      <c r="P26" s="2"/>
    </row>
    <row r="27" spans="1:16">
      <c r="A27" s="11" t="s">
        <v>59</v>
      </c>
      <c r="B27" s="12" t="s">
        <v>454</v>
      </c>
      <c r="C27" s="12" t="s">
        <v>331</v>
      </c>
      <c r="D27" s="12" t="s">
        <v>331</v>
      </c>
      <c r="E27" s="12" t="s">
        <v>331</v>
      </c>
      <c r="F27" s="12"/>
      <c r="G27" s="12"/>
      <c r="H27" s="12" t="s">
        <v>331</v>
      </c>
      <c r="I27" s="12"/>
      <c r="J27" s="12"/>
      <c r="K27" s="12"/>
      <c r="L27" s="13">
        <f>7133+14+26</f>
        <v>7173</v>
      </c>
      <c r="M27" s="12" t="s">
        <v>332</v>
      </c>
      <c r="N27" s="13">
        <f>SUM(B27:L28)</f>
        <v>64061</v>
      </c>
      <c r="O27" s="4"/>
      <c r="P27" s="2"/>
    </row>
    <row r="28" spans="1:16">
      <c r="A28" s="5"/>
      <c r="B28" s="13">
        <v>18653</v>
      </c>
      <c r="C28" s="13">
        <v>31330</v>
      </c>
      <c r="D28" s="13">
        <v>1612</v>
      </c>
      <c r="E28" s="13">
        <v>5018</v>
      </c>
      <c r="F28" s="13"/>
      <c r="G28" s="13"/>
      <c r="H28" s="13">
        <v>275</v>
      </c>
      <c r="I28" s="13"/>
      <c r="J28" s="13"/>
      <c r="K28" s="13"/>
      <c r="L28" s="13"/>
      <c r="M28" s="14"/>
      <c r="N28" s="13"/>
      <c r="O28" s="4"/>
      <c r="P28" s="2"/>
    </row>
    <row r="29" spans="1:16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/>
      <c r="P29" s="2"/>
    </row>
    <row r="30" spans="1:16">
      <c r="A30" s="28" t="s">
        <v>64</v>
      </c>
      <c r="B30" s="32" t="s">
        <v>455</v>
      </c>
      <c r="C30" s="32" t="s">
        <v>219</v>
      </c>
      <c r="D30" s="32" t="s">
        <v>219</v>
      </c>
      <c r="E30" s="32" t="s">
        <v>219</v>
      </c>
      <c r="F30" s="32"/>
      <c r="G30" s="32"/>
      <c r="H30" s="32" t="s">
        <v>219</v>
      </c>
      <c r="I30" s="32"/>
      <c r="J30" s="32"/>
      <c r="K30" s="32"/>
      <c r="L30" s="30">
        <f>6831+16+15</f>
        <v>6862</v>
      </c>
      <c r="M30" s="32" t="s">
        <v>220</v>
      </c>
      <c r="N30" s="13">
        <f>SUM(B30:L31)</f>
        <v>69269</v>
      </c>
      <c r="O30" s="4"/>
      <c r="P30" s="2"/>
    </row>
    <row r="31" spans="1:16">
      <c r="A31" s="31"/>
      <c r="B31" s="30">
        <v>19121</v>
      </c>
      <c r="C31" s="30">
        <v>36528</v>
      </c>
      <c r="D31" s="30">
        <v>1422</v>
      </c>
      <c r="E31" s="30">
        <v>5155</v>
      </c>
      <c r="F31" s="30"/>
      <c r="G31" s="30"/>
      <c r="H31" s="30">
        <v>181</v>
      </c>
      <c r="I31" s="30"/>
      <c r="J31" s="30"/>
      <c r="K31" s="30"/>
      <c r="L31" s="30"/>
      <c r="M31" s="33"/>
      <c r="N31" s="13"/>
      <c r="O31" s="4"/>
      <c r="P31" s="2"/>
    </row>
    <row r="32" spans="1:16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/>
      <c r="P32" s="2"/>
    </row>
    <row r="33" spans="1:16">
      <c r="A33" s="11" t="s">
        <v>73</v>
      </c>
      <c r="B33" s="12" t="s">
        <v>456</v>
      </c>
      <c r="C33" s="12" t="s">
        <v>243</v>
      </c>
      <c r="D33" s="12" t="s">
        <v>243</v>
      </c>
      <c r="E33" s="12" t="s">
        <v>243</v>
      </c>
      <c r="F33" s="12"/>
      <c r="G33" s="12"/>
      <c r="H33" s="12" t="s">
        <v>243</v>
      </c>
      <c r="I33" s="12"/>
      <c r="J33" s="12"/>
      <c r="K33" s="15" t="s">
        <v>288</v>
      </c>
      <c r="L33" s="13">
        <f>6191+23+29</f>
        <v>6243</v>
      </c>
      <c r="M33" s="12" t="s">
        <v>401</v>
      </c>
      <c r="N33" s="13">
        <f>SUM(B33:L34)</f>
        <v>66425</v>
      </c>
      <c r="O33" s="4"/>
      <c r="P33" s="2"/>
    </row>
    <row r="34" spans="1:16">
      <c r="A34" s="5"/>
      <c r="B34" s="13">
        <v>18841</v>
      </c>
      <c r="C34" s="13">
        <v>35368</v>
      </c>
      <c r="D34" s="13">
        <v>1181</v>
      </c>
      <c r="E34" s="13">
        <v>4352</v>
      </c>
      <c r="F34" s="13"/>
      <c r="G34" s="13"/>
      <c r="H34" s="13">
        <v>171</v>
      </c>
      <c r="I34" s="13"/>
      <c r="J34" s="13"/>
      <c r="K34" s="13">
        <v>269</v>
      </c>
      <c r="L34" s="13"/>
      <c r="M34" s="14"/>
      <c r="N34" s="13"/>
      <c r="O34" s="4"/>
      <c r="P34" s="2"/>
    </row>
    <row r="35" spans="1:16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3"/>
      <c r="O35" s="4"/>
      <c r="P35" s="2"/>
    </row>
    <row r="36" spans="1:16" ht="17.25">
      <c r="A36" s="11" t="s">
        <v>2881</v>
      </c>
      <c r="B36" s="15" t="s">
        <v>608</v>
      </c>
      <c r="C36" s="15" t="s">
        <v>2882</v>
      </c>
      <c r="D36" s="15" t="s">
        <v>2882</v>
      </c>
      <c r="E36" s="15" t="s">
        <v>2882</v>
      </c>
      <c r="F36" s="15" t="s">
        <v>608</v>
      </c>
      <c r="G36" s="15"/>
      <c r="H36" s="15"/>
      <c r="I36" s="15"/>
      <c r="J36" s="15"/>
      <c r="K36" s="15"/>
      <c r="L36" s="15">
        <f>5+4+14</f>
        <v>23</v>
      </c>
      <c r="M36" s="12" t="s">
        <v>2883</v>
      </c>
      <c r="N36" s="13">
        <f>SUM(B36:L37)</f>
        <v>10200</v>
      </c>
      <c r="O36" s="4"/>
      <c r="P36" s="2"/>
    </row>
    <row r="37" spans="1:16">
      <c r="A37" s="5"/>
      <c r="B37" s="13">
        <v>5324</v>
      </c>
      <c r="C37" s="13">
        <v>3181</v>
      </c>
      <c r="D37" s="13">
        <v>292</v>
      </c>
      <c r="E37" s="13">
        <v>867</v>
      </c>
      <c r="F37" s="13">
        <v>513</v>
      </c>
      <c r="G37" s="13"/>
      <c r="H37" s="13"/>
      <c r="I37" s="13"/>
      <c r="J37" s="13"/>
      <c r="K37" s="13"/>
      <c r="L37" s="13"/>
      <c r="M37" s="14"/>
      <c r="N37" s="13"/>
      <c r="O37" s="4"/>
      <c r="P37" s="2"/>
    </row>
    <row r="38" spans="1:16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4"/>
      <c r="P38" s="2"/>
    </row>
    <row r="39" spans="1:16">
      <c r="A39" s="28" t="s">
        <v>80</v>
      </c>
      <c r="B39" s="32" t="s">
        <v>457</v>
      </c>
      <c r="C39" s="32" t="s">
        <v>333</v>
      </c>
      <c r="D39" s="32" t="s">
        <v>333</v>
      </c>
      <c r="E39" s="32" t="s">
        <v>333</v>
      </c>
      <c r="F39" s="32"/>
      <c r="G39" s="32"/>
      <c r="H39" s="32" t="s">
        <v>333</v>
      </c>
      <c r="I39" s="32"/>
      <c r="J39" s="32"/>
      <c r="K39" s="32"/>
      <c r="L39" s="30">
        <f>5197+16+40</f>
        <v>5253</v>
      </c>
      <c r="M39" s="32" t="s">
        <v>334</v>
      </c>
      <c r="N39" s="13">
        <f>SUM(B39:L40)</f>
        <v>61847</v>
      </c>
      <c r="O39" s="4"/>
      <c r="P39" s="2"/>
    </row>
    <row r="40" spans="1:16">
      <c r="A40" s="31"/>
      <c r="B40" s="30">
        <v>23923</v>
      </c>
      <c r="C40" s="30">
        <v>27231</v>
      </c>
      <c r="D40" s="30">
        <v>1456</v>
      </c>
      <c r="E40" s="30">
        <v>3703</v>
      </c>
      <c r="F40" s="30"/>
      <c r="G40" s="30"/>
      <c r="H40" s="30">
        <v>281</v>
      </c>
      <c r="I40" s="30"/>
      <c r="J40" s="30"/>
      <c r="K40" s="30"/>
      <c r="L40" s="30"/>
      <c r="M40" s="33"/>
      <c r="N40" s="13"/>
      <c r="O40" s="4"/>
      <c r="P40" s="2"/>
    </row>
    <row r="41" spans="1:16">
      <c r="A41" s="3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3"/>
      <c r="N41" s="13"/>
      <c r="O41" s="4"/>
      <c r="P41" s="2"/>
    </row>
    <row r="42" spans="1:16" ht="17.25">
      <c r="A42" s="28" t="s">
        <v>2859</v>
      </c>
      <c r="B42" s="29" t="s">
        <v>611</v>
      </c>
      <c r="C42" s="29" t="s">
        <v>2860</v>
      </c>
      <c r="D42" s="29" t="s">
        <v>611</v>
      </c>
      <c r="E42" s="29" t="s">
        <v>2860</v>
      </c>
      <c r="F42" s="29" t="s">
        <v>611</v>
      </c>
      <c r="G42" s="29" t="s">
        <v>611</v>
      </c>
      <c r="H42" s="29" t="s">
        <v>611</v>
      </c>
      <c r="I42" s="29"/>
      <c r="J42" s="29"/>
      <c r="K42" s="29"/>
      <c r="L42" s="29">
        <f>6+4+3</f>
        <v>13</v>
      </c>
      <c r="M42" s="32" t="s">
        <v>612</v>
      </c>
      <c r="N42" s="13">
        <f>SUM(B42:L43)</f>
        <v>10270</v>
      </c>
      <c r="O42" s="4"/>
      <c r="P42" s="2"/>
    </row>
    <row r="43" spans="1:16">
      <c r="A43" s="31"/>
      <c r="B43" s="30">
        <v>5477</v>
      </c>
      <c r="C43" s="30">
        <v>3356</v>
      </c>
      <c r="D43" s="30">
        <v>205</v>
      </c>
      <c r="E43" s="30">
        <v>843</v>
      </c>
      <c r="F43" s="30">
        <v>223</v>
      </c>
      <c r="G43" s="30">
        <v>120</v>
      </c>
      <c r="H43" s="30">
        <v>33</v>
      </c>
      <c r="I43" s="30"/>
      <c r="J43" s="30"/>
      <c r="K43" s="30"/>
      <c r="L43" s="30"/>
      <c r="M43" s="33"/>
      <c r="N43" s="13"/>
      <c r="O43" s="4"/>
      <c r="P43" s="2"/>
    </row>
    <row r="44" spans="1:16">
      <c r="A44" s="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4"/>
      <c r="P44" s="2"/>
    </row>
    <row r="45" spans="1:16">
      <c r="A45" s="11" t="s">
        <v>83</v>
      </c>
      <c r="B45" s="12" t="s">
        <v>402</v>
      </c>
      <c r="C45" s="12" t="s">
        <v>458</v>
      </c>
      <c r="D45" s="12" t="s">
        <v>402</v>
      </c>
      <c r="E45" s="15"/>
      <c r="F45" s="12" t="s">
        <v>402</v>
      </c>
      <c r="G45" s="12"/>
      <c r="H45" s="12" t="s">
        <v>402</v>
      </c>
      <c r="I45" s="12"/>
      <c r="J45" s="12"/>
      <c r="K45" s="12"/>
      <c r="L45" s="13">
        <f>5569+7+13</f>
        <v>5589</v>
      </c>
      <c r="M45" s="12" t="s">
        <v>403</v>
      </c>
      <c r="N45" s="13">
        <f>SUM(B45:L46)</f>
        <v>49087</v>
      </c>
      <c r="O45" s="4"/>
      <c r="P45" s="2"/>
    </row>
    <row r="46" spans="1:16">
      <c r="A46" s="5"/>
      <c r="B46" s="13">
        <v>24411</v>
      </c>
      <c r="C46" s="13">
        <v>17369</v>
      </c>
      <c r="D46" s="13">
        <v>690</v>
      </c>
      <c r="E46" s="13"/>
      <c r="F46" s="13">
        <v>934</v>
      </c>
      <c r="G46" s="13"/>
      <c r="H46" s="13">
        <v>94</v>
      </c>
      <c r="I46" s="13"/>
      <c r="J46" s="13"/>
      <c r="K46" s="13"/>
      <c r="L46" s="13"/>
      <c r="M46" s="14"/>
      <c r="N46" s="13"/>
      <c r="O46" s="4"/>
      <c r="P46" s="2"/>
    </row>
    <row r="47" spans="1:16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4"/>
      <c r="P47" s="2"/>
    </row>
    <row r="48" spans="1:16">
      <c r="A48" s="28" t="s">
        <v>91</v>
      </c>
      <c r="B48" s="32" t="s">
        <v>459</v>
      </c>
      <c r="C48" s="32" t="s">
        <v>238</v>
      </c>
      <c r="D48" s="32" t="s">
        <v>238</v>
      </c>
      <c r="E48" s="32" t="s">
        <v>238</v>
      </c>
      <c r="F48" s="32"/>
      <c r="G48" s="32"/>
      <c r="H48" s="32" t="s">
        <v>238</v>
      </c>
      <c r="I48" s="32"/>
      <c r="J48" s="32"/>
      <c r="K48" s="32"/>
      <c r="L48" s="30">
        <f>6067+11+21</f>
        <v>6099</v>
      </c>
      <c r="M48" s="32" t="s">
        <v>239</v>
      </c>
      <c r="N48" s="13">
        <f>SUM(B48:L49)</f>
        <v>66363</v>
      </c>
      <c r="O48" s="4"/>
      <c r="P48" s="2"/>
    </row>
    <row r="49" spans="1:16">
      <c r="A49" s="31"/>
      <c r="B49" s="30">
        <v>21243</v>
      </c>
      <c r="C49" s="30">
        <v>32325</v>
      </c>
      <c r="D49" s="30">
        <v>1609</v>
      </c>
      <c r="E49" s="30">
        <v>4833</v>
      </c>
      <c r="F49" s="30"/>
      <c r="G49" s="30"/>
      <c r="H49" s="30">
        <v>254</v>
      </c>
      <c r="I49" s="30"/>
      <c r="J49" s="30"/>
      <c r="K49" s="30"/>
      <c r="L49" s="30"/>
      <c r="M49" s="33"/>
      <c r="N49" s="13"/>
      <c r="O49" s="4"/>
      <c r="P49" s="2"/>
    </row>
    <row r="50" spans="1:16">
      <c r="A50" s="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4"/>
      <c r="P50" s="2"/>
    </row>
    <row r="51" spans="1:16">
      <c r="A51" s="11" t="s">
        <v>94</v>
      </c>
      <c r="B51" s="12" t="s">
        <v>244</v>
      </c>
      <c r="C51" s="12" t="s">
        <v>460</v>
      </c>
      <c r="D51" s="12"/>
      <c r="E51" s="12" t="s">
        <v>460</v>
      </c>
      <c r="F51" s="12" t="s">
        <v>244</v>
      </c>
      <c r="G51" s="12" t="s">
        <v>244</v>
      </c>
      <c r="H51" s="12" t="s">
        <v>460</v>
      </c>
      <c r="I51" s="12" t="s">
        <v>588</v>
      </c>
      <c r="J51" s="12"/>
      <c r="K51" s="15"/>
      <c r="L51" s="13">
        <f>5331+40+15</f>
        <v>5386</v>
      </c>
      <c r="M51" s="12" t="s">
        <v>245</v>
      </c>
      <c r="N51" s="13">
        <f>SUM(B51:L52)</f>
        <v>56430</v>
      </c>
      <c r="O51" s="4"/>
      <c r="P51" s="2"/>
    </row>
    <row r="52" spans="1:16">
      <c r="A52" s="5"/>
      <c r="B52" s="13">
        <v>30672</v>
      </c>
      <c r="C52" s="13">
        <v>16753</v>
      </c>
      <c r="D52" s="13"/>
      <c r="E52" s="13">
        <v>1666</v>
      </c>
      <c r="F52" s="13">
        <v>816</v>
      </c>
      <c r="G52" s="13">
        <v>372</v>
      </c>
      <c r="H52" s="13">
        <v>151</v>
      </c>
      <c r="I52" s="13">
        <v>614</v>
      </c>
      <c r="J52" s="13"/>
      <c r="K52" s="13"/>
      <c r="L52" s="13"/>
      <c r="M52" s="14"/>
      <c r="N52" s="13"/>
      <c r="O52" s="4"/>
      <c r="P52" s="2"/>
    </row>
    <row r="53" spans="1:16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4"/>
      <c r="P53" s="2"/>
    </row>
    <row r="54" spans="1:16">
      <c r="A54" s="28" t="s">
        <v>104</v>
      </c>
      <c r="B54" s="32" t="s">
        <v>461</v>
      </c>
      <c r="C54" s="32" t="s">
        <v>213</v>
      </c>
      <c r="D54" s="32" t="s">
        <v>213</v>
      </c>
      <c r="E54" s="32" t="s">
        <v>213</v>
      </c>
      <c r="F54" s="32" t="s">
        <v>461</v>
      </c>
      <c r="G54" s="32" t="s">
        <v>461</v>
      </c>
      <c r="H54" s="32" t="s">
        <v>213</v>
      </c>
      <c r="I54" s="32"/>
      <c r="J54" s="32"/>
      <c r="K54" s="29" t="s">
        <v>293</v>
      </c>
      <c r="L54" s="30">
        <f>7355+38+33</f>
        <v>7426</v>
      </c>
      <c r="M54" s="32" t="s">
        <v>214</v>
      </c>
      <c r="N54" s="13">
        <f>SUM(B54:L55)</f>
        <v>71026</v>
      </c>
      <c r="O54" s="4"/>
      <c r="P54" s="2"/>
    </row>
    <row r="55" spans="1:16">
      <c r="A55" s="31"/>
      <c r="B55" s="30">
        <v>22257</v>
      </c>
      <c r="C55" s="30">
        <v>35082</v>
      </c>
      <c r="D55" s="30">
        <v>847</v>
      </c>
      <c r="E55" s="30">
        <v>3663</v>
      </c>
      <c r="F55" s="30">
        <v>919</v>
      </c>
      <c r="G55" s="30">
        <v>415</v>
      </c>
      <c r="H55" s="30">
        <v>135</v>
      </c>
      <c r="I55" s="30"/>
      <c r="J55" s="30"/>
      <c r="K55" s="29">
        <v>282</v>
      </c>
      <c r="L55" s="30"/>
      <c r="M55" s="33"/>
      <c r="N55" s="13"/>
      <c r="O55" s="4"/>
      <c r="P55" s="2"/>
    </row>
    <row r="56" spans="1:16">
      <c r="A56" s="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4"/>
      <c r="P56" s="2"/>
    </row>
    <row r="57" spans="1:16">
      <c r="A57" s="11" t="s">
        <v>110</v>
      </c>
      <c r="B57" s="12" t="s">
        <v>462</v>
      </c>
      <c r="C57" s="12" t="s">
        <v>291</v>
      </c>
      <c r="D57" s="12" t="s">
        <v>291</v>
      </c>
      <c r="E57" s="12" t="s">
        <v>291</v>
      </c>
      <c r="F57" s="12" t="s">
        <v>462</v>
      </c>
      <c r="G57" s="12" t="s">
        <v>462</v>
      </c>
      <c r="H57" s="12"/>
      <c r="I57" s="12"/>
      <c r="J57" s="12"/>
      <c r="K57" s="15" t="s">
        <v>463</v>
      </c>
      <c r="L57" s="13">
        <f>6066+36+29</f>
        <v>6131</v>
      </c>
      <c r="M57" s="12" t="s">
        <v>292</v>
      </c>
      <c r="N57" s="13">
        <f>SUM(B57:L58)</f>
        <v>61144</v>
      </c>
      <c r="O57" s="4"/>
      <c r="P57" s="2"/>
    </row>
    <row r="58" spans="1:16">
      <c r="A58" s="5"/>
      <c r="B58" s="13">
        <v>22338</v>
      </c>
      <c r="C58" s="13">
        <v>27368</v>
      </c>
      <c r="D58" s="13">
        <v>658</v>
      </c>
      <c r="E58" s="13">
        <v>3069</v>
      </c>
      <c r="F58" s="13">
        <v>948</v>
      </c>
      <c r="G58" s="13">
        <v>365</v>
      </c>
      <c r="H58" s="13"/>
      <c r="I58" s="13"/>
      <c r="J58" s="13"/>
      <c r="K58" s="13">
        <v>267</v>
      </c>
      <c r="L58" s="13"/>
      <c r="M58" s="14"/>
      <c r="N58" s="13"/>
      <c r="O58" s="4"/>
      <c r="P58" s="2"/>
    </row>
    <row r="59" spans="1:16">
      <c r="A59" s="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3"/>
      <c r="M59" s="13"/>
      <c r="N59" s="13"/>
      <c r="O59" s="4"/>
      <c r="P59" s="2"/>
    </row>
    <row r="60" spans="1:16">
      <c r="A60" s="28" t="s">
        <v>114</v>
      </c>
      <c r="B60" s="32" t="s">
        <v>464</v>
      </c>
      <c r="C60" s="32" t="s">
        <v>465</v>
      </c>
      <c r="D60" s="32" t="s">
        <v>464</v>
      </c>
      <c r="E60" s="32" t="s">
        <v>465</v>
      </c>
      <c r="F60" s="32" t="s">
        <v>464</v>
      </c>
      <c r="G60" s="32" t="s">
        <v>464</v>
      </c>
      <c r="H60" s="32" t="s">
        <v>465</v>
      </c>
      <c r="I60" s="32"/>
      <c r="J60" s="32"/>
      <c r="K60" s="29"/>
      <c r="L60" s="30">
        <f>6153+30+21</f>
        <v>6204</v>
      </c>
      <c r="M60" s="32" t="s">
        <v>466</v>
      </c>
      <c r="N60" s="13">
        <f>SUM(B60:L61)</f>
        <v>62545</v>
      </c>
      <c r="O60" s="4"/>
      <c r="P60" s="2"/>
    </row>
    <row r="61" spans="1:16">
      <c r="A61" s="31"/>
      <c r="B61" s="30">
        <v>27883</v>
      </c>
      <c r="C61" s="30">
        <v>24619</v>
      </c>
      <c r="D61" s="30">
        <v>403</v>
      </c>
      <c r="E61" s="30">
        <v>2016</v>
      </c>
      <c r="F61" s="30">
        <v>789</v>
      </c>
      <c r="G61" s="30">
        <v>334</v>
      </c>
      <c r="H61" s="30">
        <v>297</v>
      </c>
      <c r="I61" s="30"/>
      <c r="J61" s="30"/>
      <c r="K61" s="30"/>
      <c r="L61" s="30"/>
      <c r="M61" s="33"/>
      <c r="N61" s="13"/>
      <c r="O61" s="4"/>
      <c r="P61" s="2"/>
    </row>
    <row r="62" spans="1:16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4"/>
      <c r="P62" s="2"/>
    </row>
    <row r="63" spans="1:16">
      <c r="A63" s="11" t="s">
        <v>128</v>
      </c>
      <c r="B63" s="12" t="s">
        <v>467</v>
      </c>
      <c r="C63" s="12" t="s">
        <v>252</v>
      </c>
      <c r="D63" s="12" t="s">
        <v>252</v>
      </c>
      <c r="E63" s="12" t="s">
        <v>252</v>
      </c>
      <c r="F63" s="12" t="s">
        <v>467</v>
      </c>
      <c r="G63" s="12" t="s">
        <v>467</v>
      </c>
      <c r="H63" s="12" t="s">
        <v>252</v>
      </c>
      <c r="I63" s="12"/>
      <c r="J63" s="12"/>
      <c r="K63" s="15" t="s">
        <v>335</v>
      </c>
      <c r="L63" s="13">
        <f>7113+18+34</f>
        <v>7165</v>
      </c>
      <c r="M63" s="12" t="s">
        <v>253</v>
      </c>
      <c r="N63" s="13">
        <f>SUM(B63:L64)</f>
        <v>64534</v>
      </c>
      <c r="O63" s="4"/>
      <c r="P63" s="2"/>
    </row>
    <row r="64" spans="1:16">
      <c r="A64" s="5"/>
      <c r="B64" s="13">
        <v>19959</v>
      </c>
      <c r="C64" s="13">
        <v>31288</v>
      </c>
      <c r="D64" s="13">
        <v>758</v>
      </c>
      <c r="E64" s="13">
        <v>3517</v>
      </c>
      <c r="F64" s="13">
        <v>1074</v>
      </c>
      <c r="G64" s="13">
        <v>401</v>
      </c>
      <c r="H64" s="13">
        <v>142</v>
      </c>
      <c r="I64" s="13"/>
      <c r="J64" s="13"/>
      <c r="K64" s="13">
        <v>230</v>
      </c>
      <c r="L64" s="13"/>
      <c r="M64" s="14"/>
      <c r="N64" s="13"/>
      <c r="O64" s="4"/>
      <c r="P64" s="2"/>
    </row>
    <row r="65" spans="1:16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4"/>
      <c r="N65" s="13"/>
      <c r="O65" s="4"/>
      <c r="P65" s="2"/>
    </row>
    <row r="66" spans="1:16" ht="17.25">
      <c r="A66" s="11" t="s">
        <v>2861</v>
      </c>
      <c r="B66" s="15" t="s">
        <v>467</v>
      </c>
      <c r="C66" s="15" t="s">
        <v>619</v>
      </c>
      <c r="D66" s="15" t="s">
        <v>619</v>
      </c>
      <c r="E66" s="15" t="s">
        <v>619</v>
      </c>
      <c r="F66" s="15" t="s">
        <v>467</v>
      </c>
      <c r="G66" s="15" t="s">
        <v>467</v>
      </c>
      <c r="H66" s="15" t="s">
        <v>619</v>
      </c>
      <c r="I66" s="15"/>
      <c r="J66" s="15"/>
      <c r="K66" s="15"/>
      <c r="L66" s="15">
        <f>3+26</f>
        <v>29</v>
      </c>
      <c r="M66" s="12" t="s">
        <v>621</v>
      </c>
      <c r="N66" s="13"/>
      <c r="O66" s="4"/>
      <c r="P66" s="2"/>
    </row>
    <row r="67" spans="1:16">
      <c r="A67" s="5"/>
      <c r="B67" s="13">
        <v>1118</v>
      </c>
      <c r="C67" s="13">
        <v>1743</v>
      </c>
      <c r="D67" s="13">
        <v>51</v>
      </c>
      <c r="E67" s="13">
        <v>340</v>
      </c>
      <c r="F67" s="13">
        <v>60</v>
      </c>
      <c r="G67" s="13">
        <v>37</v>
      </c>
      <c r="H67" s="13">
        <v>9</v>
      </c>
      <c r="I67" s="13"/>
      <c r="J67" s="13"/>
      <c r="K67" s="13"/>
      <c r="L67" s="13"/>
      <c r="M67" s="14"/>
      <c r="N67" s="13"/>
      <c r="O67" s="4"/>
      <c r="P67" s="2"/>
    </row>
    <row r="68" spans="1:16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4"/>
      <c r="P68" s="2"/>
    </row>
    <row r="69" spans="1:16">
      <c r="A69" s="28" t="s">
        <v>133</v>
      </c>
      <c r="B69" s="32" t="s">
        <v>221</v>
      </c>
      <c r="C69" s="32" t="s">
        <v>404</v>
      </c>
      <c r="D69" s="32"/>
      <c r="E69" s="32" t="s">
        <v>404</v>
      </c>
      <c r="F69" s="32"/>
      <c r="G69" s="32" t="s">
        <v>221</v>
      </c>
      <c r="H69" s="32"/>
      <c r="I69" s="32"/>
      <c r="J69" s="32"/>
      <c r="K69" s="32" t="s">
        <v>468</v>
      </c>
      <c r="L69" s="30">
        <f>3993+29+23</f>
        <v>4045</v>
      </c>
      <c r="M69" s="32" t="s">
        <v>222</v>
      </c>
      <c r="N69" s="13">
        <f>SUM(B69:L70)</f>
        <v>45735</v>
      </c>
      <c r="O69" s="4"/>
      <c r="P69" s="2"/>
    </row>
    <row r="70" spans="1:16">
      <c r="A70" s="31"/>
      <c r="B70" s="30">
        <v>36102</v>
      </c>
      <c r="C70" s="30">
        <v>4207</v>
      </c>
      <c r="D70" s="30"/>
      <c r="E70" s="30">
        <v>668</v>
      </c>
      <c r="F70" s="30"/>
      <c r="G70" s="30">
        <v>588</v>
      </c>
      <c r="H70" s="30"/>
      <c r="I70" s="30"/>
      <c r="J70" s="30"/>
      <c r="K70" s="30">
        <v>125</v>
      </c>
      <c r="L70" s="30"/>
      <c r="M70" s="33"/>
      <c r="N70" s="13"/>
      <c r="O70" s="4"/>
      <c r="P70" s="2"/>
    </row>
    <row r="71" spans="1:16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4"/>
      <c r="P71" s="2"/>
    </row>
    <row r="72" spans="1:16">
      <c r="A72" s="11" t="s">
        <v>138</v>
      </c>
      <c r="B72" s="12" t="s">
        <v>336</v>
      </c>
      <c r="C72" s="12" t="s">
        <v>294</v>
      </c>
      <c r="D72" s="12" t="s">
        <v>294</v>
      </c>
      <c r="E72" s="12" t="s">
        <v>294</v>
      </c>
      <c r="F72" s="12" t="s">
        <v>336</v>
      </c>
      <c r="G72" s="12" t="s">
        <v>336</v>
      </c>
      <c r="H72" s="12"/>
      <c r="I72" s="12"/>
      <c r="J72" s="12"/>
      <c r="K72" s="12" t="s">
        <v>469</v>
      </c>
      <c r="L72" s="13">
        <f>6975+19+27</f>
        <v>7021</v>
      </c>
      <c r="M72" s="12" t="s">
        <v>296</v>
      </c>
      <c r="N72" s="13">
        <f>SUM(B72:L75)</f>
        <v>62696</v>
      </c>
      <c r="O72" s="4"/>
      <c r="P72" s="2"/>
    </row>
    <row r="73" spans="1:16">
      <c r="A73" s="5"/>
      <c r="B73" s="13">
        <v>20124</v>
      </c>
      <c r="C73" s="13">
        <v>29964</v>
      </c>
      <c r="D73" s="13">
        <v>685</v>
      </c>
      <c r="E73" s="13">
        <v>3380</v>
      </c>
      <c r="F73" s="13">
        <v>783</v>
      </c>
      <c r="G73" s="13">
        <v>424</v>
      </c>
      <c r="H73" s="13"/>
      <c r="I73" s="13"/>
      <c r="J73" s="13"/>
      <c r="K73" s="13">
        <v>98</v>
      </c>
      <c r="L73" s="13"/>
      <c r="M73" s="14"/>
      <c r="N73" s="13"/>
      <c r="O73" s="4"/>
      <c r="P73" s="2"/>
    </row>
    <row r="74" spans="1:16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5" t="s">
        <v>295</v>
      </c>
      <c r="L74" s="13"/>
      <c r="M74" s="14"/>
      <c r="N74" s="13"/>
      <c r="O74" s="4"/>
      <c r="P74" s="2"/>
    </row>
    <row r="75" spans="1:16">
      <c r="A75" s="5"/>
      <c r="B75" s="13"/>
      <c r="C75" s="13"/>
      <c r="D75" s="13"/>
      <c r="E75" s="13"/>
      <c r="F75" s="13"/>
      <c r="G75" s="13"/>
      <c r="H75" s="13"/>
      <c r="I75" s="13"/>
      <c r="J75" s="13"/>
      <c r="K75" s="13">
        <v>217</v>
      </c>
      <c r="L75" s="13"/>
      <c r="M75" s="14"/>
      <c r="N75" s="13"/>
      <c r="O75" s="4"/>
      <c r="P75" s="2"/>
    </row>
    <row r="76" spans="1:16">
      <c r="A76" s="5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4"/>
      <c r="P76" s="2"/>
    </row>
    <row r="77" spans="1:16">
      <c r="A77" s="28" t="s">
        <v>141</v>
      </c>
      <c r="B77" s="32" t="s">
        <v>470</v>
      </c>
      <c r="C77" s="32" t="s">
        <v>231</v>
      </c>
      <c r="D77" s="32" t="s">
        <v>470</v>
      </c>
      <c r="E77" s="32" t="s">
        <v>231</v>
      </c>
      <c r="F77" s="32" t="s">
        <v>470</v>
      </c>
      <c r="G77" s="32" t="s">
        <v>470</v>
      </c>
      <c r="H77" s="32" t="s">
        <v>231</v>
      </c>
      <c r="I77" s="32" t="s">
        <v>589</v>
      </c>
      <c r="J77" s="32"/>
      <c r="K77" s="29" t="s">
        <v>471</v>
      </c>
      <c r="L77" s="30">
        <f>6194+42+18</f>
        <v>6254</v>
      </c>
      <c r="M77" s="32" t="s">
        <v>472</v>
      </c>
      <c r="N77" s="13">
        <f>SUM(B77:L78)</f>
        <v>62033</v>
      </c>
      <c r="O77" s="4"/>
      <c r="P77" s="2"/>
    </row>
    <row r="78" spans="1:16">
      <c r="A78" s="31"/>
      <c r="B78" s="30">
        <v>24468</v>
      </c>
      <c r="C78" s="30">
        <v>26220</v>
      </c>
      <c r="D78" s="30">
        <v>458</v>
      </c>
      <c r="E78" s="30">
        <v>2180</v>
      </c>
      <c r="F78" s="30">
        <v>809</v>
      </c>
      <c r="G78" s="30">
        <v>321</v>
      </c>
      <c r="H78" s="30">
        <v>237</v>
      </c>
      <c r="I78" s="30">
        <v>872</v>
      </c>
      <c r="J78" s="30"/>
      <c r="K78" s="29">
        <v>214</v>
      </c>
      <c r="L78" s="30"/>
      <c r="M78" s="33"/>
      <c r="N78" s="13"/>
      <c r="O78" s="4"/>
      <c r="P78" s="2"/>
    </row>
    <row r="79" spans="1:16">
      <c r="A79" s="5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4"/>
      <c r="P79" s="2"/>
    </row>
    <row r="80" spans="1:16">
      <c r="A80" s="11" t="s">
        <v>147</v>
      </c>
      <c r="B80" s="12" t="s">
        <v>473</v>
      </c>
      <c r="C80" s="12" t="s">
        <v>289</v>
      </c>
      <c r="D80" s="12" t="s">
        <v>289</v>
      </c>
      <c r="E80" s="12" t="s">
        <v>289</v>
      </c>
      <c r="F80" s="12"/>
      <c r="G80" s="12"/>
      <c r="H80" s="12"/>
      <c r="I80" s="12"/>
      <c r="J80" s="12"/>
      <c r="K80" s="15" t="s">
        <v>474</v>
      </c>
      <c r="L80" s="13">
        <f>6799+28+24</f>
        <v>6851</v>
      </c>
      <c r="M80" s="12" t="s">
        <v>290</v>
      </c>
      <c r="N80" s="13">
        <f>SUM(B80:L81)</f>
        <v>66115</v>
      </c>
      <c r="O80" s="4"/>
      <c r="P80" s="2"/>
    </row>
    <row r="81" spans="1:16">
      <c r="A81" s="5"/>
      <c r="B81" s="13">
        <v>25237</v>
      </c>
      <c r="C81" s="13">
        <v>29525</v>
      </c>
      <c r="D81" s="13">
        <v>1058</v>
      </c>
      <c r="E81" s="13">
        <v>3255</v>
      </c>
      <c r="F81" s="13"/>
      <c r="G81" s="13"/>
      <c r="H81" s="13"/>
      <c r="I81" s="13"/>
      <c r="J81" s="13"/>
      <c r="K81" s="13">
        <v>189</v>
      </c>
      <c r="L81" s="13"/>
      <c r="M81" s="14"/>
      <c r="N81" s="13"/>
      <c r="O81" s="4"/>
      <c r="P81" s="2"/>
    </row>
    <row r="82" spans="1:16">
      <c r="A82" s="5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4"/>
      <c r="P82" s="2"/>
    </row>
    <row r="83" spans="1:16">
      <c r="A83" s="34" t="s">
        <v>152</v>
      </c>
      <c r="B83" s="32" t="s">
        <v>337</v>
      </c>
      <c r="C83" s="32" t="s">
        <v>475</v>
      </c>
      <c r="D83" s="32" t="s">
        <v>337</v>
      </c>
      <c r="E83" s="32" t="s">
        <v>475</v>
      </c>
      <c r="F83" s="32" t="s">
        <v>337</v>
      </c>
      <c r="G83" s="32" t="s">
        <v>337</v>
      </c>
      <c r="H83" s="32"/>
      <c r="I83" s="32"/>
      <c r="J83" s="32"/>
      <c r="K83" s="32" t="s">
        <v>476</v>
      </c>
      <c r="L83" s="30">
        <f>4424+54+24</f>
        <v>4502</v>
      </c>
      <c r="M83" s="32" t="s">
        <v>338</v>
      </c>
      <c r="N83" s="13">
        <f>SUM(B83:L84)</f>
        <v>59737</v>
      </c>
      <c r="O83" s="4"/>
      <c r="P83" s="2"/>
    </row>
    <row r="84" spans="1:16">
      <c r="A84" s="31"/>
      <c r="B84" s="30">
        <v>34645</v>
      </c>
      <c r="C84" s="30">
        <v>16630</v>
      </c>
      <c r="D84" s="30">
        <v>555</v>
      </c>
      <c r="E84" s="30">
        <v>1814</v>
      </c>
      <c r="F84" s="30">
        <v>1005</v>
      </c>
      <c r="G84" s="30">
        <v>393</v>
      </c>
      <c r="H84" s="30"/>
      <c r="I84" s="30"/>
      <c r="J84" s="30"/>
      <c r="K84" s="30">
        <v>193</v>
      </c>
      <c r="L84" s="30"/>
      <c r="M84" s="33"/>
      <c r="N84" s="13"/>
      <c r="O84" s="4"/>
      <c r="P84" s="2"/>
    </row>
    <row r="85" spans="1:16">
      <c r="A85" s="5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4"/>
      <c r="P85" s="2"/>
    </row>
    <row r="86" spans="1:16">
      <c r="A86" s="11" t="s">
        <v>156</v>
      </c>
      <c r="B86" s="12" t="s">
        <v>477</v>
      </c>
      <c r="C86" s="12" t="s">
        <v>478</v>
      </c>
      <c r="D86" s="12"/>
      <c r="E86" s="12" t="s">
        <v>478</v>
      </c>
      <c r="F86" s="12" t="s">
        <v>477</v>
      </c>
      <c r="G86" s="12" t="s">
        <v>477</v>
      </c>
      <c r="H86" s="12"/>
      <c r="I86" s="12"/>
      <c r="J86" s="12"/>
      <c r="K86" s="15" t="s">
        <v>479</v>
      </c>
      <c r="L86" s="13">
        <f>2868+34</f>
        <v>2902</v>
      </c>
      <c r="M86" s="12" t="s">
        <v>480</v>
      </c>
      <c r="N86" s="13">
        <f>SUM(B86:L87)</f>
        <v>42780</v>
      </c>
      <c r="O86" s="4"/>
      <c r="P86" s="2"/>
    </row>
    <row r="87" spans="1:16">
      <c r="A87" s="5"/>
      <c r="B87" s="13">
        <v>25313</v>
      </c>
      <c r="C87" s="13">
        <v>11162</v>
      </c>
      <c r="D87" s="13"/>
      <c r="E87" s="13">
        <v>1554</v>
      </c>
      <c r="F87" s="13">
        <v>1340</v>
      </c>
      <c r="G87" s="13">
        <v>389</v>
      </c>
      <c r="H87" s="13"/>
      <c r="I87" s="13"/>
      <c r="J87" s="13"/>
      <c r="K87" s="13">
        <v>120</v>
      </c>
      <c r="L87" s="13"/>
      <c r="M87" s="14"/>
      <c r="N87" s="13"/>
      <c r="O87" s="4"/>
      <c r="P87" s="2"/>
    </row>
    <row r="88" spans="1:16">
      <c r="A88" s="5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4"/>
      <c r="P88" s="2"/>
    </row>
    <row r="89" spans="1:16">
      <c r="A89" s="34" t="s">
        <v>163</v>
      </c>
      <c r="B89" s="32" t="s">
        <v>164</v>
      </c>
      <c r="C89" s="32" t="s">
        <v>481</v>
      </c>
      <c r="D89" s="32"/>
      <c r="E89" s="32"/>
      <c r="F89" s="32"/>
      <c r="G89" s="32"/>
      <c r="H89" s="32"/>
      <c r="I89" s="32"/>
      <c r="J89" s="32"/>
      <c r="K89" s="29"/>
      <c r="L89" s="30">
        <f>3244+22</f>
        <v>3266</v>
      </c>
      <c r="M89" s="32" t="s">
        <v>297</v>
      </c>
      <c r="N89" s="13">
        <f>SUM(B89:L90)</f>
        <v>39606</v>
      </c>
      <c r="O89" s="4"/>
      <c r="P89" s="2"/>
    </row>
    <row r="90" spans="1:16">
      <c r="A90" s="31"/>
      <c r="B90" s="30">
        <v>30036</v>
      </c>
      <c r="C90" s="30">
        <v>6304</v>
      </c>
      <c r="D90" s="30"/>
      <c r="E90" s="30"/>
      <c r="F90" s="30"/>
      <c r="G90" s="30"/>
      <c r="H90" s="30"/>
      <c r="I90" s="30"/>
      <c r="J90" s="30"/>
      <c r="K90" s="30"/>
      <c r="L90" s="30"/>
      <c r="M90" s="33"/>
      <c r="N90" s="13"/>
      <c r="O90" s="4"/>
      <c r="P90" s="2"/>
    </row>
    <row r="91" spans="1:16">
      <c r="A91" s="5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4"/>
      <c r="P91" s="2"/>
    </row>
    <row r="92" spans="1:16">
      <c r="A92" s="11" t="s">
        <v>168</v>
      </c>
      <c r="B92" s="12" t="s">
        <v>339</v>
      </c>
      <c r="C92" s="12" t="s">
        <v>482</v>
      </c>
      <c r="D92" s="12"/>
      <c r="E92" s="12"/>
      <c r="F92" s="12" t="s">
        <v>339</v>
      </c>
      <c r="G92" s="12"/>
      <c r="H92" s="12"/>
      <c r="I92" s="12"/>
      <c r="J92" s="12"/>
      <c r="K92" s="15"/>
      <c r="L92" s="13">
        <f>5279+42</f>
        <v>5321</v>
      </c>
      <c r="M92" s="12" t="s">
        <v>340</v>
      </c>
      <c r="N92" s="13">
        <f>SUM(B92:L93)</f>
        <v>34320</v>
      </c>
      <c r="O92" s="4"/>
      <c r="P92" s="2"/>
    </row>
    <row r="93" spans="1:16">
      <c r="A93" s="5"/>
      <c r="B93" s="13">
        <v>20695</v>
      </c>
      <c r="C93" s="13">
        <v>6856</v>
      </c>
      <c r="D93" s="13"/>
      <c r="E93" s="13"/>
      <c r="F93" s="13">
        <v>1448</v>
      </c>
      <c r="G93" s="13"/>
      <c r="H93" s="13"/>
      <c r="I93" s="13"/>
      <c r="J93" s="13"/>
      <c r="K93" s="13"/>
      <c r="L93" s="13"/>
      <c r="M93" s="14"/>
      <c r="N93" s="13"/>
      <c r="O93" s="4"/>
      <c r="P93" s="2"/>
    </row>
    <row r="94" spans="1:16">
      <c r="A94" s="5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4"/>
      <c r="P94" s="2"/>
    </row>
    <row r="95" spans="1:16">
      <c r="A95" s="28" t="s">
        <v>174</v>
      </c>
      <c r="B95" s="32" t="s">
        <v>298</v>
      </c>
      <c r="C95" s="32"/>
      <c r="D95" s="32" t="s">
        <v>298</v>
      </c>
      <c r="E95" s="32"/>
      <c r="F95" s="32" t="s">
        <v>298</v>
      </c>
      <c r="G95" s="32" t="s">
        <v>298</v>
      </c>
      <c r="H95" s="32"/>
      <c r="I95" s="32"/>
      <c r="J95" s="32"/>
      <c r="K95" s="32"/>
      <c r="L95" s="30">
        <f>13707+209</f>
        <v>13916</v>
      </c>
      <c r="M95" s="32" t="s">
        <v>299</v>
      </c>
      <c r="N95" s="13">
        <f>SUM(B95:L96)</f>
        <v>47170</v>
      </c>
      <c r="O95" s="4"/>
      <c r="P95" s="2"/>
    </row>
    <row r="96" spans="1:16">
      <c r="A96" s="31"/>
      <c r="B96" s="30">
        <v>28733</v>
      </c>
      <c r="C96" s="30"/>
      <c r="D96" s="30">
        <v>1866</v>
      </c>
      <c r="E96" s="30"/>
      <c r="F96" s="30">
        <v>1507</v>
      </c>
      <c r="G96" s="30">
        <v>1148</v>
      </c>
      <c r="H96" s="30"/>
      <c r="I96" s="30"/>
      <c r="J96" s="30"/>
      <c r="K96" s="30"/>
      <c r="L96" s="30"/>
      <c r="M96" s="33"/>
      <c r="N96" s="13"/>
      <c r="O96" s="4"/>
      <c r="P96" s="2"/>
    </row>
    <row r="97" spans="1:16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13"/>
      <c r="O97" s="4"/>
      <c r="P97" s="2"/>
    </row>
    <row r="98" spans="1:16">
      <c r="A98" s="8" t="s">
        <v>176</v>
      </c>
      <c r="B98" s="12" t="s">
        <v>341</v>
      </c>
      <c r="C98" s="12" t="s">
        <v>341</v>
      </c>
      <c r="D98" s="12"/>
      <c r="E98" s="12" t="s">
        <v>341</v>
      </c>
      <c r="F98" s="12"/>
      <c r="G98" s="12"/>
      <c r="H98" s="12"/>
      <c r="I98" s="12"/>
      <c r="J98" s="12"/>
      <c r="K98" s="15"/>
      <c r="L98" s="13">
        <f>5213+94</f>
        <v>5307</v>
      </c>
      <c r="M98" s="12" t="s">
        <v>342</v>
      </c>
      <c r="N98" s="5">
        <f>SUM(B98:L99)</f>
        <v>37501</v>
      </c>
      <c r="O98" s="3"/>
    </row>
    <row r="99" spans="1:16">
      <c r="A99" s="5"/>
      <c r="B99" s="13">
        <v>23167</v>
      </c>
      <c r="C99" s="13">
        <v>8003</v>
      </c>
      <c r="D99" s="13"/>
      <c r="E99" s="13">
        <v>1024</v>
      </c>
      <c r="F99" s="13"/>
      <c r="G99" s="13"/>
      <c r="H99" s="13"/>
      <c r="I99" s="13"/>
      <c r="J99" s="13"/>
      <c r="K99" s="13"/>
      <c r="L99" s="13"/>
      <c r="M99" s="14"/>
      <c r="N99" s="5"/>
      <c r="O99" s="3"/>
    </row>
    <row r="100" spans="1:16">
      <c r="A100" s="5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4"/>
      <c r="N100" s="5"/>
      <c r="O100" s="3"/>
    </row>
    <row r="101" spans="1:16">
      <c r="A101" s="34" t="s">
        <v>179</v>
      </c>
      <c r="B101" s="29" t="s">
        <v>256</v>
      </c>
      <c r="C101" s="29"/>
      <c r="D101" s="29"/>
      <c r="E101" s="29"/>
      <c r="F101" s="29" t="s">
        <v>256</v>
      </c>
      <c r="G101" s="29"/>
      <c r="H101" s="29"/>
      <c r="I101" s="29"/>
      <c r="J101" s="29"/>
      <c r="K101" s="29"/>
      <c r="L101" s="30">
        <f>11830+261</f>
        <v>12091</v>
      </c>
      <c r="M101" s="29" t="s">
        <v>257</v>
      </c>
      <c r="N101" s="5">
        <f>SUM(B101:L102)</f>
        <v>45001</v>
      </c>
      <c r="O101" s="3"/>
    </row>
    <row r="102" spans="1:16">
      <c r="A102" s="31"/>
      <c r="B102" s="30">
        <v>29515</v>
      </c>
      <c r="C102" s="30"/>
      <c r="D102" s="30"/>
      <c r="E102" s="30"/>
      <c r="F102" s="30">
        <v>3395</v>
      </c>
      <c r="G102" s="30"/>
      <c r="H102" s="30"/>
      <c r="I102" s="30"/>
      <c r="J102" s="30"/>
      <c r="K102" s="30"/>
      <c r="L102" s="30"/>
      <c r="M102" s="30"/>
      <c r="N102" s="5"/>
      <c r="O102" s="3"/>
    </row>
    <row r="103" spans="1:16">
      <c r="A103" s="5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5"/>
    </row>
    <row r="104" spans="1:16">
      <c r="A104" s="11" t="s">
        <v>181</v>
      </c>
      <c r="B104" s="12" t="s">
        <v>483</v>
      </c>
      <c r="C104" s="12"/>
      <c r="D104" s="12"/>
      <c r="E104" s="12"/>
      <c r="F104" s="12" t="s">
        <v>483</v>
      </c>
      <c r="G104" s="12"/>
      <c r="H104" s="12"/>
      <c r="I104" s="12"/>
      <c r="J104" s="12"/>
      <c r="K104" s="15"/>
      <c r="L104" s="13">
        <f>3516+45</f>
        <v>3561</v>
      </c>
      <c r="M104" s="15" t="s">
        <v>484</v>
      </c>
      <c r="N104" s="5">
        <f>SUM(B104:L105)</f>
        <v>45147</v>
      </c>
    </row>
    <row r="105" spans="1:16">
      <c r="A105" s="5"/>
      <c r="B105" s="13">
        <v>40594</v>
      </c>
      <c r="C105" s="13"/>
      <c r="D105" s="13"/>
      <c r="E105" s="13"/>
      <c r="F105" s="13">
        <v>992</v>
      </c>
      <c r="G105" s="13"/>
      <c r="H105" s="13"/>
      <c r="I105" s="13"/>
      <c r="J105" s="13"/>
      <c r="K105" s="13"/>
      <c r="L105" s="13"/>
      <c r="M105" s="13"/>
      <c r="N105" s="5"/>
    </row>
    <row r="106" spans="1:1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6">
      <c r="A107" s="33" t="s">
        <v>4</v>
      </c>
      <c r="B107" s="32" t="s">
        <v>485</v>
      </c>
      <c r="C107" s="32" t="s">
        <v>486</v>
      </c>
      <c r="D107" s="32"/>
      <c r="E107" s="32" t="s">
        <v>486</v>
      </c>
      <c r="F107" s="32"/>
      <c r="G107" s="32"/>
      <c r="H107" s="32" t="s">
        <v>486</v>
      </c>
      <c r="I107" s="32"/>
      <c r="J107" s="32"/>
      <c r="K107" s="32"/>
      <c r="L107" s="30">
        <f>3452+68</f>
        <v>3520</v>
      </c>
      <c r="M107" s="32" t="s">
        <v>487</v>
      </c>
      <c r="N107" s="5">
        <f>SUM(B107:L108)</f>
        <v>39514</v>
      </c>
    </row>
    <row r="108" spans="1:16">
      <c r="A108" s="30"/>
      <c r="B108" s="30">
        <v>24452</v>
      </c>
      <c r="C108" s="30">
        <v>9757</v>
      </c>
      <c r="D108" s="30"/>
      <c r="E108" s="30">
        <v>1198</v>
      </c>
      <c r="F108" s="30"/>
      <c r="G108" s="30"/>
      <c r="H108" s="30">
        <v>587</v>
      </c>
      <c r="I108" s="30"/>
      <c r="J108" s="30"/>
      <c r="K108" s="30"/>
      <c r="L108" s="30"/>
      <c r="M108" s="33"/>
      <c r="N108" s="5"/>
    </row>
    <row r="109" spans="1:16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5"/>
    </row>
    <row r="110" spans="1:16">
      <c r="A110" s="14" t="s">
        <v>12</v>
      </c>
      <c r="B110" s="12" t="s">
        <v>223</v>
      </c>
      <c r="C110" s="12"/>
      <c r="D110" s="12"/>
      <c r="E110" s="12"/>
      <c r="F110" s="12" t="s">
        <v>223</v>
      </c>
      <c r="G110" s="12"/>
      <c r="H110" s="12"/>
      <c r="I110" s="12"/>
      <c r="J110" s="12"/>
      <c r="K110" s="12"/>
      <c r="L110" s="13">
        <f>4111+69</f>
        <v>4180</v>
      </c>
      <c r="M110" s="12" t="s">
        <v>282</v>
      </c>
      <c r="N110" s="5">
        <f>SUM(B110:L111)</f>
        <v>36312</v>
      </c>
    </row>
    <row r="111" spans="1:16">
      <c r="A111" s="13"/>
      <c r="B111" s="13">
        <v>31019</v>
      </c>
      <c r="C111" s="13"/>
      <c r="D111" s="13"/>
      <c r="E111" s="13"/>
      <c r="F111" s="13">
        <v>1113</v>
      </c>
      <c r="G111" s="13"/>
      <c r="H111" s="13"/>
      <c r="I111" s="13"/>
      <c r="J111" s="13"/>
      <c r="K111" s="13"/>
      <c r="L111" s="13"/>
      <c r="M111" s="14"/>
      <c r="N111" s="5"/>
    </row>
    <row r="112" spans="1:16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5"/>
    </row>
    <row r="113" spans="1:14">
      <c r="A113" s="33" t="s">
        <v>19</v>
      </c>
      <c r="B113" s="32" t="s">
        <v>20</v>
      </c>
      <c r="C113" s="32"/>
      <c r="D113" s="32"/>
      <c r="E113" s="32"/>
      <c r="F113" s="32"/>
      <c r="G113" s="32"/>
      <c r="H113" s="32"/>
      <c r="I113" s="32"/>
      <c r="J113" s="32"/>
      <c r="K113" s="32"/>
      <c r="L113" s="30">
        <f>3632+87</f>
        <v>3719</v>
      </c>
      <c r="M113" s="32" t="s">
        <v>21</v>
      </c>
      <c r="N113" s="5">
        <f>SUM(B113:L114)</f>
        <v>43024</v>
      </c>
    </row>
    <row r="114" spans="1:14">
      <c r="A114" s="30"/>
      <c r="B114" s="30">
        <v>39305</v>
      </c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3"/>
      <c r="N114" s="5"/>
    </row>
    <row r="115" spans="1:1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5"/>
    </row>
    <row r="116" spans="1:14">
      <c r="A116" s="14" t="s">
        <v>30</v>
      </c>
      <c r="B116" s="12" t="s">
        <v>488</v>
      </c>
      <c r="C116" s="12" t="s">
        <v>489</v>
      </c>
      <c r="D116" s="12"/>
      <c r="E116" s="12" t="s">
        <v>489</v>
      </c>
      <c r="F116" s="12"/>
      <c r="G116" s="12"/>
      <c r="H116" s="12"/>
      <c r="I116" s="12"/>
      <c r="J116" s="12"/>
      <c r="K116" s="12" t="s">
        <v>490</v>
      </c>
      <c r="L116" s="13">
        <f>2877+31</f>
        <v>2908</v>
      </c>
      <c r="M116" s="12" t="s">
        <v>491</v>
      </c>
      <c r="N116" s="5">
        <f>SUM(B116:L117)</f>
        <v>48484</v>
      </c>
    </row>
    <row r="117" spans="1:14">
      <c r="A117" s="13"/>
      <c r="B117" s="13">
        <v>40212</v>
      </c>
      <c r="C117" s="13">
        <v>3854</v>
      </c>
      <c r="D117" s="13"/>
      <c r="E117" s="13">
        <v>596</v>
      </c>
      <c r="F117" s="13"/>
      <c r="G117" s="13"/>
      <c r="H117" s="13"/>
      <c r="I117" s="13"/>
      <c r="J117" s="13"/>
      <c r="K117" s="14">
        <v>914</v>
      </c>
      <c r="L117" s="13"/>
      <c r="M117" s="14"/>
      <c r="N117" s="5"/>
    </row>
    <row r="118" spans="1:1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5"/>
    </row>
    <row r="119" spans="1:14">
      <c r="A119" s="33" t="s">
        <v>34</v>
      </c>
      <c r="B119" s="32" t="s">
        <v>273</v>
      </c>
      <c r="C119" s="32"/>
      <c r="D119" s="32"/>
      <c r="E119" s="32"/>
      <c r="F119" s="32"/>
      <c r="G119" s="32"/>
      <c r="H119" s="32"/>
      <c r="I119" s="32"/>
      <c r="J119" s="32"/>
      <c r="K119" s="32"/>
      <c r="L119" s="30">
        <f>7370+114</f>
        <v>7484</v>
      </c>
      <c r="M119" s="32" t="s">
        <v>274</v>
      </c>
      <c r="N119" s="5">
        <f>SUM(B119:L120)</f>
        <v>31645</v>
      </c>
    </row>
    <row r="120" spans="1:14">
      <c r="A120" s="30"/>
      <c r="B120" s="30">
        <v>24161</v>
      </c>
      <c r="C120" s="30"/>
      <c r="D120" s="30"/>
      <c r="E120" s="30"/>
      <c r="F120" s="30"/>
      <c r="G120" s="30"/>
      <c r="H120" s="30"/>
      <c r="I120" s="30"/>
      <c r="J120" s="30"/>
      <c r="K120" s="33"/>
      <c r="L120" s="30"/>
      <c r="M120" s="33"/>
      <c r="N120" s="5"/>
    </row>
    <row r="121" spans="1:1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5"/>
    </row>
    <row r="122" spans="1:14">
      <c r="A122" s="14" t="s">
        <v>41</v>
      </c>
      <c r="B122" s="12" t="s">
        <v>42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3">
        <f>5961+78</f>
        <v>6039</v>
      </c>
      <c r="M122" s="12" t="s">
        <v>43</v>
      </c>
      <c r="N122" s="5">
        <f>SUM(B122:L123)</f>
        <v>28349</v>
      </c>
    </row>
    <row r="123" spans="1:14">
      <c r="A123" s="13"/>
      <c r="B123" s="13">
        <v>22310</v>
      </c>
      <c r="C123" s="13"/>
      <c r="D123" s="13"/>
      <c r="E123" s="13"/>
      <c r="F123" s="13"/>
      <c r="G123" s="13"/>
      <c r="H123" s="13"/>
      <c r="I123" s="13"/>
      <c r="J123" s="13"/>
      <c r="K123" s="14"/>
      <c r="L123" s="13"/>
      <c r="M123" s="14"/>
      <c r="N123" s="5"/>
    </row>
    <row r="124" spans="1:1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5"/>
    </row>
    <row r="125" spans="1:14">
      <c r="A125" s="33" t="s">
        <v>47</v>
      </c>
      <c r="B125" s="32" t="s">
        <v>300</v>
      </c>
      <c r="C125" s="32"/>
      <c r="D125" s="32"/>
      <c r="E125" s="32"/>
      <c r="F125" s="32" t="s">
        <v>300</v>
      </c>
      <c r="G125" s="32"/>
      <c r="H125" s="32"/>
      <c r="I125" s="32"/>
      <c r="J125" s="32"/>
      <c r="K125" s="32"/>
      <c r="L125" s="30">
        <f>8010+192</f>
        <v>8202</v>
      </c>
      <c r="M125" s="32" t="s">
        <v>301</v>
      </c>
      <c r="N125" s="5">
        <f>SUM(B125:L126)</f>
        <v>44414</v>
      </c>
    </row>
    <row r="126" spans="1:14">
      <c r="A126" s="30"/>
      <c r="B126" s="30">
        <v>32574</v>
      </c>
      <c r="C126" s="30"/>
      <c r="D126" s="30"/>
      <c r="E126" s="30"/>
      <c r="F126" s="30">
        <v>3638</v>
      </c>
      <c r="G126" s="30"/>
      <c r="H126" s="30"/>
      <c r="I126" s="30"/>
      <c r="J126" s="30"/>
      <c r="K126" s="30"/>
      <c r="L126" s="30"/>
      <c r="M126" s="33"/>
      <c r="N126" s="5"/>
    </row>
    <row r="127" spans="1:1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5"/>
    </row>
    <row r="128" spans="1:14">
      <c r="A128" s="14" t="s">
        <v>53</v>
      </c>
      <c r="B128" s="12" t="s">
        <v>54</v>
      </c>
      <c r="C128" s="12"/>
      <c r="D128" s="12"/>
      <c r="E128" s="12"/>
      <c r="F128" s="12" t="s">
        <v>302</v>
      </c>
      <c r="G128" s="12"/>
      <c r="H128" s="12"/>
      <c r="I128" s="12"/>
      <c r="J128" s="12"/>
      <c r="K128" s="15"/>
      <c r="L128" s="13">
        <f>6299+162</f>
        <v>6461</v>
      </c>
      <c r="M128" s="12" t="s">
        <v>55</v>
      </c>
      <c r="N128" s="5">
        <f>SUM(B128:L129)</f>
        <v>41296</v>
      </c>
    </row>
    <row r="129" spans="1:14">
      <c r="A129" s="13"/>
      <c r="B129" s="13">
        <v>31423</v>
      </c>
      <c r="C129" s="13"/>
      <c r="D129" s="13"/>
      <c r="E129" s="13"/>
      <c r="F129" s="13">
        <v>3412</v>
      </c>
      <c r="G129" s="13"/>
      <c r="H129" s="13"/>
      <c r="I129" s="13"/>
      <c r="J129" s="13"/>
      <c r="K129" s="13"/>
      <c r="L129" s="13"/>
      <c r="M129" s="14"/>
      <c r="N129" s="5"/>
    </row>
    <row r="130" spans="1:1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5"/>
    </row>
    <row r="131" spans="1:14">
      <c r="A131" s="33" t="s">
        <v>61</v>
      </c>
      <c r="B131" s="32" t="s">
        <v>231</v>
      </c>
      <c r="C131" s="32" t="s">
        <v>492</v>
      </c>
      <c r="D131" s="32"/>
      <c r="E131" s="32" t="s">
        <v>231</v>
      </c>
      <c r="F131" s="32"/>
      <c r="G131" s="32"/>
      <c r="H131" s="32" t="s">
        <v>492</v>
      </c>
      <c r="I131" s="32"/>
      <c r="J131" s="32"/>
      <c r="K131" s="32"/>
      <c r="L131" s="30">
        <f>2799+39</f>
        <v>2838</v>
      </c>
      <c r="M131" s="32" t="s">
        <v>303</v>
      </c>
      <c r="N131" s="5">
        <f>SUM(B131:L132)</f>
        <v>32591</v>
      </c>
    </row>
    <row r="132" spans="1:14">
      <c r="A132" s="30"/>
      <c r="B132" s="30">
        <v>22966</v>
      </c>
      <c r="C132" s="30">
        <v>5299</v>
      </c>
      <c r="D132" s="30"/>
      <c r="E132" s="30">
        <v>992</v>
      </c>
      <c r="F132" s="30"/>
      <c r="G132" s="30"/>
      <c r="H132" s="30">
        <v>496</v>
      </c>
      <c r="I132" s="30"/>
      <c r="J132" s="30"/>
      <c r="K132" s="30"/>
      <c r="L132" s="30"/>
      <c r="M132" s="33"/>
      <c r="N132" s="5"/>
    </row>
    <row r="133" spans="1:1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5"/>
    </row>
    <row r="134" spans="1:14">
      <c r="A134" s="14" t="s">
        <v>65</v>
      </c>
      <c r="B134" s="12" t="s">
        <v>304</v>
      </c>
      <c r="C134" s="12"/>
      <c r="D134" s="12"/>
      <c r="E134" s="12"/>
      <c r="F134" s="12" t="s">
        <v>304</v>
      </c>
      <c r="G134" s="12"/>
      <c r="H134" s="12"/>
      <c r="I134" s="12"/>
      <c r="J134" s="12"/>
      <c r="K134" s="12"/>
      <c r="L134" s="13">
        <f>4988+47</f>
        <v>5035</v>
      </c>
      <c r="M134" s="12" t="s">
        <v>305</v>
      </c>
      <c r="N134" s="5">
        <f>SUM(B134:L135)</f>
        <v>25118</v>
      </c>
    </row>
    <row r="135" spans="1:14">
      <c r="A135" s="13"/>
      <c r="B135" s="13">
        <v>18631</v>
      </c>
      <c r="C135" s="13"/>
      <c r="D135" s="13"/>
      <c r="E135" s="13"/>
      <c r="F135" s="13">
        <v>1452</v>
      </c>
      <c r="G135" s="13"/>
      <c r="H135" s="13"/>
      <c r="I135" s="13"/>
      <c r="J135" s="13"/>
      <c r="K135" s="14"/>
      <c r="L135" s="13"/>
      <c r="M135" s="14"/>
      <c r="N135" s="5"/>
    </row>
    <row r="136" spans="1:1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4"/>
      <c r="L136" s="13"/>
      <c r="M136" s="14"/>
      <c r="N136" s="5"/>
    </row>
    <row r="137" spans="1:14" ht="17.25">
      <c r="A137" s="14" t="s">
        <v>2862</v>
      </c>
      <c r="B137" s="15" t="s">
        <v>640</v>
      </c>
      <c r="C137" s="15"/>
      <c r="D137" s="15"/>
      <c r="E137" s="15"/>
      <c r="F137" s="15" t="s">
        <v>640</v>
      </c>
      <c r="G137" s="15" t="s">
        <v>640</v>
      </c>
      <c r="H137" s="15"/>
      <c r="I137" s="15"/>
      <c r="J137" s="15"/>
      <c r="K137" s="12"/>
      <c r="L137" s="15">
        <f>11+66</f>
        <v>77</v>
      </c>
      <c r="M137" s="12" t="s">
        <v>2863</v>
      </c>
      <c r="N137" s="5"/>
    </row>
    <row r="138" spans="1:14">
      <c r="A138" s="13"/>
      <c r="B138" s="13">
        <v>655</v>
      </c>
      <c r="C138" s="13"/>
      <c r="D138" s="13"/>
      <c r="E138" s="13"/>
      <c r="F138" s="13">
        <v>104</v>
      </c>
      <c r="G138" s="13">
        <v>19</v>
      </c>
      <c r="H138" s="13"/>
      <c r="I138" s="13"/>
      <c r="J138" s="13"/>
      <c r="K138" s="14"/>
      <c r="L138" s="13"/>
      <c r="M138" s="14"/>
      <c r="N138" s="5"/>
    </row>
    <row r="139" spans="1:1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5"/>
    </row>
    <row r="140" spans="1:14">
      <c r="A140" s="33" t="s">
        <v>71</v>
      </c>
      <c r="B140" s="32" t="s">
        <v>343</v>
      </c>
      <c r="C140" s="32" t="s">
        <v>310</v>
      </c>
      <c r="D140" s="32"/>
      <c r="E140" s="32"/>
      <c r="F140" s="32" t="s">
        <v>343</v>
      </c>
      <c r="G140" s="32"/>
      <c r="H140" s="32" t="s">
        <v>310</v>
      </c>
      <c r="I140" s="32"/>
      <c r="J140" s="32"/>
      <c r="K140" s="32"/>
      <c r="L140" s="30">
        <f>3453+17</f>
        <v>3470</v>
      </c>
      <c r="M140" s="32" t="s">
        <v>405</v>
      </c>
      <c r="N140" s="5">
        <f>SUM(B140:L141)</f>
        <v>25368</v>
      </c>
    </row>
    <row r="141" spans="1:14">
      <c r="A141" s="30"/>
      <c r="B141" s="30">
        <v>15697</v>
      </c>
      <c r="C141" s="30">
        <v>5168</v>
      </c>
      <c r="D141" s="30"/>
      <c r="E141" s="30"/>
      <c r="F141" s="30">
        <v>782</v>
      </c>
      <c r="G141" s="30"/>
      <c r="H141" s="30">
        <v>251</v>
      </c>
      <c r="I141" s="30"/>
      <c r="J141" s="30"/>
      <c r="K141" s="33"/>
      <c r="L141" s="30"/>
      <c r="M141" s="33"/>
      <c r="N141" s="5"/>
    </row>
    <row r="142" spans="1:1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5"/>
    </row>
    <row r="143" spans="1:14">
      <c r="A143" s="14" t="s">
        <v>75</v>
      </c>
      <c r="B143" s="12" t="s">
        <v>76</v>
      </c>
      <c r="C143" s="12" t="s">
        <v>419</v>
      </c>
      <c r="D143" s="12"/>
      <c r="E143" s="12" t="s">
        <v>419</v>
      </c>
      <c r="F143" s="12" t="s">
        <v>306</v>
      </c>
      <c r="G143" s="12"/>
      <c r="H143" s="12"/>
      <c r="I143" s="12"/>
      <c r="J143" s="12"/>
      <c r="K143" s="12"/>
      <c r="L143" s="13">
        <f>3514+47</f>
        <v>3561</v>
      </c>
      <c r="M143" s="12" t="s">
        <v>77</v>
      </c>
      <c r="N143" s="5">
        <f>SUM(B143:L144)</f>
        <v>39705</v>
      </c>
    </row>
    <row r="144" spans="1:14">
      <c r="A144" s="13"/>
      <c r="B144" s="13">
        <v>26666</v>
      </c>
      <c r="C144" s="13">
        <v>6650</v>
      </c>
      <c r="D144" s="13"/>
      <c r="E144" s="13">
        <v>1178</v>
      </c>
      <c r="F144" s="13">
        <v>1650</v>
      </c>
      <c r="G144" s="13"/>
      <c r="H144" s="13"/>
      <c r="I144" s="13"/>
      <c r="J144" s="13"/>
      <c r="K144" s="13"/>
      <c r="L144" s="13"/>
      <c r="M144" s="14"/>
      <c r="N144" s="5"/>
    </row>
    <row r="145" spans="1:1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5"/>
    </row>
    <row r="146" spans="1:14">
      <c r="A146" s="33" t="s">
        <v>82</v>
      </c>
      <c r="B146" s="32" t="s">
        <v>406</v>
      </c>
      <c r="C146" s="32" t="s">
        <v>407</v>
      </c>
      <c r="D146" s="32"/>
      <c r="E146" s="32" t="s">
        <v>407</v>
      </c>
      <c r="F146" s="32"/>
      <c r="G146" s="32"/>
      <c r="H146" s="32"/>
      <c r="I146" s="32"/>
      <c r="J146" s="32"/>
      <c r="K146" s="32"/>
      <c r="L146" s="30">
        <f>2931+44</f>
        <v>2975</v>
      </c>
      <c r="M146" s="32" t="s">
        <v>408</v>
      </c>
      <c r="N146" s="5">
        <f>SUM(B146:L147)</f>
        <v>40916</v>
      </c>
    </row>
    <row r="147" spans="1:14">
      <c r="A147" s="30"/>
      <c r="B147" s="30">
        <v>34379</v>
      </c>
      <c r="C147" s="30">
        <v>2857</v>
      </c>
      <c r="D147" s="30"/>
      <c r="E147" s="30">
        <v>705</v>
      </c>
      <c r="F147" s="30"/>
      <c r="G147" s="30"/>
      <c r="H147" s="30"/>
      <c r="I147" s="30"/>
      <c r="J147" s="30"/>
      <c r="K147" s="30"/>
      <c r="L147" s="30"/>
      <c r="M147" s="33"/>
      <c r="N147" s="5"/>
    </row>
    <row r="148" spans="1:1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5"/>
    </row>
    <row r="149" spans="1:14">
      <c r="A149" s="14" t="s">
        <v>85</v>
      </c>
      <c r="B149" s="12" t="s">
        <v>449</v>
      </c>
      <c r="C149" s="12"/>
      <c r="D149" s="12"/>
      <c r="E149" s="12"/>
      <c r="F149" s="12" t="s">
        <v>449</v>
      </c>
      <c r="G149" s="12"/>
      <c r="H149" s="12"/>
      <c r="I149" s="12"/>
      <c r="J149" s="12"/>
      <c r="K149" s="12"/>
      <c r="L149" s="13">
        <f>4467+198</f>
        <v>4665</v>
      </c>
      <c r="M149" s="15" t="s">
        <v>450</v>
      </c>
      <c r="N149" s="5">
        <f>SUM(B149:L150)</f>
        <v>44139</v>
      </c>
    </row>
    <row r="150" spans="1:14">
      <c r="A150" s="13"/>
      <c r="B150" s="13">
        <v>36724</v>
      </c>
      <c r="C150" s="13"/>
      <c r="D150" s="13"/>
      <c r="E150" s="13"/>
      <c r="F150" s="13">
        <v>2750</v>
      </c>
      <c r="G150" s="13"/>
      <c r="H150" s="13"/>
      <c r="I150" s="13"/>
      <c r="J150" s="13"/>
      <c r="K150" s="13"/>
      <c r="L150" s="13"/>
      <c r="M150" s="14"/>
      <c r="N150" s="5"/>
    </row>
    <row r="151" spans="1:1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5"/>
    </row>
    <row r="152" spans="1:14">
      <c r="A152" s="33" t="s">
        <v>90</v>
      </c>
      <c r="B152" s="32" t="s">
        <v>493</v>
      </c>
      <c r="C152" s="32" t="s">
        <v>494</v>
      </c>
      <c r="D152" s="32"/>
      <c r="E152" s="32" t="s">
        <v>494</v>
      </c>
      <c r="F152" s="32" t="s">
        <v>493</v>
      </c>
      <c r="G152" s="32"/>
      <c r="H152" s="32"/>
      <c r="I152" s="32"/>
      <c r="J152" s="32"/>
      <c r="K152" s="32"/>
      <c r="L152" s="30">
        <f>3934+63</f>
        <v>3997</v>
      </c>
      <c r="M152" s="32" t="s">
        <v>495</v>
      </c>
      <c r="N152" s="5">
        <f>SUM(B152:L153)</f>
        <v>44697</v>
      </c>
    </row>
    <row r="153" spans="1:14">
      <c r="A153" s="30"/>
      <c r="B153" s="30">
        <v>30082</v>
      </c>
      <c r="C153" s="30">
        <v>4736</v>
      </c>
      <c r="D153" s="30"/>
      <c r="E153" s="30">
        <v>1185</v>
      </c>
      <c r="F153" s="30">
        <v>4697</v>
      </c>
      <c r="G153" s="30"/>
      <c r="H153" s="30"/>
      <c r="I153" s="30"/>
      <c r="J153" s="30"/>
      <c r="K153" s="33"/>
      <c r="L153" s="30"/>
      <c r="M153" s="33"/>
      <c r="N153" s="5"/>
    </row>
    <row r="154" spans="1:1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5"/>
    </row>
    <row r="155" spans="1:14">
      <c r="A155" s="14" t="s">
        <v>93</v>
      </c>
      <c r="B155" s="12" t="s">
        <v>188</v>
      </c>
      <c r="C155" s="5"/>
      <c r="D155" s="12" t="s">
        <v>188</v>
      </c>
      <c r="E155" s="12" t="s">
        <v>496</v>
      </c>
      <c r="F155" s="12" t="s">
        <v>188</v>
      </c>
      <c r="G155" s="12"/>
      <c r="H155" s="12"/>
      <c r="I155" s="12"/>
      <c r="J155" s="12"/>
      <c r="K155" s="12"/>
      <c r="L155" s="13">
        <f>7116+46</f>
        <v>7162</v>
      </c>
      <c r="M155" s="12" t="s">
        <v>199</v>
      </c>
      <c r="N155" s="5">
        <f>SUM(B155:L156)</f>
        <v>29749</v>
      </c>
    </row>
    <row r="156" spans="1:14">
      <c r="A156" s="13"/>
      <c r="B156" s="13">
        <v>15768</v>
      </c>
      <c r="C156" s="5"/>
      <c r="D156" s="13">
        <v>919</v>
      </c>
      <c r="E156" s="13">
        <v>4692</v>
      </c>
      <c r="F156" s="13">
        <v>1208</v>
      </c>
      <c r="G156" s="13"/>
      <c r="H156" s="13"/>
      <c r="I156" s="13"/>
      <c r="J156" s="13"/>
      <c r="K156" s="13"/>
      <c r="L156" s="13"/>
      <c r="M156" s="14"/>
      <c r="N156" s="5"/>
    </row>
    <row r="157" spans="1:1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5"/>
    </row>
    <row r="158" spans="1:14">
      <c r="A158" s="33" t="s">
        <v>97</v>
      </c>
      <c r="B158" s="32" t="s">
        <v>481</v>
      </c>
      <c r="C158" s="32" t="s">
        <v>497</v>
      </c>
      <c r="D158" s="32"/>
      <c r="E158" s="32" t="s">
        <v>409</v>
      </c>
      <c r="F158" s="32"/>
      <c r="G158" s="32"/>
      <c r="H158" s="32" t="s">
        <v>497</v>
      </c>
      <c r="I158" s="32" t="s">
        <v>590</v>
      </c>
      <c r="J158" s="32"/>
      <c r="K158" s="32"/>
      <c r="L158" s="30">
        <f>4746+45</f>
        <v>4791</v>
      </c>
      <c r="M158" s="32" t="s">
        <v>498</v>
      </c>
      <c r="N158" s="5">
        <f>SUM(B158:L159)</f>
        <v>39610</v>
      </c>
    </row>
    <row r="159" spans="1:14">
      <c r="A159" s="30"/>
      <c r="B159" s="30">
        <v>20061</v>
      </c>
      <c r="C159" s="30">
        <v>11463</v>
      </c>
      <c r="D159" s="30"/>
      <c r="E159" s="30">
        <v>1699</v>
      </c>
      <c r="F159" s="30"/>
      <c r="G159" s="30"/>
      <c r="H159" s="30">
        <v>344</v>
      </c>
      <c r="I159" s="30">
        <v>1252</v>
      </c>
      <c r="J159" s="30"/>
      <c r="K159" s="33"/>
      <c r="L159" s="30"/>
      <c r="M159" s="33"/>
      <c r="N159" s="5"/>
    </row>
    <row r="160" spans="1:1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5"/>
    </row>
    <row r="161" spans="1:14">
      <c r="A161" s="14" t="s">
        <v>101</v>
      </c>
      <c r="B161" s="12" t="s">
        <v>200</v>
      </c>
      <c r="C161" s="12"/>
      <c r="D161" s="12"/>
      <c r="E161" s="12" t="s">
        <v>499</v>
      </c>
      <c r="F161" s="12" t="s">
        <v>200</v>
      </c>
      <c r="G161" s="12"/>
      <c r="H161" s="12"/>
      <c r="I161" s="12"/>
      <c r="J161" s="12"/>
      <c r="K161" s="12"/>
      <c r="L161" s="13">
        <f>5344+48</f>
        <v>5392</v>
      </c>
      <c r="M161" s="12" t="s">
        <v>102</v>
      </c>
      <c r="N161" s="5">
        <f>SUM(B161:L162)</f>
        <v>26680</v>
      </c>
    </row>
    <row r="162" spans="1:14">
      <c r="A162" s="13"/>
      <c r="B162" s="13">
        <v>16989</v>
      </c>
      <c r="C162" s="13"/>
      <c r="D162" s="13"/>
      <c r="E162" s="14">
        <v>2416</v>
      </c>
      <c r="F162" s="14">
        <v>1883</v>
      </c>
      <c r="G162" s="14"/>
      <c r="H162" s="14"/>
      <c r="I162" s="14"/>
      <c r="J162" s="14"/>
      <c r="K162" s="14"/>
      <c r="L162" s="13"/>
      <c r="M162" s="14"/>
      <c r="N162" s="5"/>
    </row>
    <row r="163" spans="1:1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5"/>
    </row>
    <row r="164" spans="1:14">
      <c r="A164" s="33" t="s">
        <v>106</v>
      </c>
      <c r="B164" s="32" t="s">
        <v>107</v>
      </c>
      <c r="C164" s="32" t="s">
        <v>500</v>
      </c>
      <c r="D164" s="31"/>
      <c r="E164" s="32" t="s">
        <v>107</v>
      </c>
      <c r="F164" s="32"/>
      <c r="G164" s="32"/>
      <c r="H164" s="32"/>
      <c r="I164" s="32"/>
      <c r="J164" s="32"/>
      <c r="K164" s="32"/>
      <c r="L164" s="30">
        <f>2870+176</f>
        <v>3046</v>
      </c>
      <c r="M164" s="32" t="s">
        <v>108</v>
      </c>
      <c r="N164" s="5">
        <f>SUM(B164:L165)</f>
        <v>26164</v>
      </c>
    </row>
    <row r="165" spans="1:14">
      <c r="A165" s="30"/>
      <c r="B165" s="30">
        <v>10320</v>
      </c>
      <c r="C165" s="30">
        <v>11076</v>
      </c>
      <c r="D165" s="31"/>
      <c r="E165" s="30">
        <v>1722</v>
      </c>
      <c r="F165" s="30"/>
      <c r="G165" s="30"/>
      <c r="H165" s="30"/>
      <c r="I165" s="30"/>
      <c r="J165" s="30"/>
      <c r="K165" s="33"/>
      <c r="L165" s="30"/>
      <c r="M165" s="33"/>
      <c r="N165" s="5"/>
    </row>
    <row r="166" spans="1:1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5"/>
    </row>
    <row r="167" spans="1:14">
      <c r="A167" s="14" t="s">
        <v>112</v>
      </c>
      <c r="B167" s="12" t="s">
        <v>261</v>
      </c>
      <c r="C167" s="12" t="s">
        <v>501</v>
      </c>
      <c r="D167" s="12" t="s">
        <v>261</v>
      </c>
      <c r="E167" s="12" t="s">
        <v>501</v>
      </c>
      <c r="F167" s="12" t="s">
        <v>261</v>
      </c>
      <c r="G167" s="12"/>
      <c r="H167" s="12"/>
      <c r="I167" s="12"/>
      <c r="J167" s="12"/>
      <c r="K167" s="12"/>
      <c r="L167" s="13">
        <f>2416+21</f>
        <v>2437</v>
      </c>
      <c r="M167" s="12" t="s">
        <v>262</v>
      </c>
      <c r="N167" s="5">
        <f>SUM(B167:L168)</f>
        <v>20735</v>
      </c>
    </row>
    <row r="168" spans="1:14">
      <c r="A168" s="13"/>
      <c r="B168" s="13">
        <v>12486</v>
      </c>
      <c r="C168" s="13">
        <v>3903</v>
      </c>
      <c r="D168" s="13">
        <v>447</v>
      </c>
      <c r="E168" s="14">
        <v>571</v>
      </c>
      <c r="F168" s="14">
        <v>891</v>
      </c>
      <c r="G168" s="14"/>
      <c r="H168" s="14"/>
      <c r="I168" s="14"/>
      <c r="J168" s="14"/>
      <c r="K168" s="14"/>
      <c r="L168" s="13"/>
      <c r="M168" s="14"/>
      <c r="N168" s="5"/>
    </row>
    <row r="169" spans="1:1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5"/>
    </row>
    <row r="170" spans="1:14">
      <c r="A170" s="33" t="s">
        <v>116</v>
      </c>
      <c r="B170" s="32" t="s">
        <v>117</v>
      </c>
      <c r="C170" s="32"/>
      <c r="D170" s="31"/>
      <c r="E170" s="32"/>
      <c r="F170" s="32"/>
      <c r="G170" s="32"/>
      <c r="H170" s="32"/>
      <c r="I170" s="32"/>
      <c r="J170" s="32"/>
      <c r="K170" s="32"/>
      <c r="L170" s="30">
        <f>5846+237</f>
        <v>6083</v>
      </c>
      <c r="M170" s="32" t="s">
        <v>118</v>
      </c>
      <c r="N170" s="5">
        <f>SUM(B170:L171)</f>
        <v>39373</v>
      </c>
    </row>
    <row r="171" spans="1:14">
      <c r="A171" s="30"/>
      <c r="B171" s="30">
        <v>33290</v>
      </c>
      <c r="C171" s="30"/>
      <c r="D171" s="31"/>
      <c r="E171" s="30"/>
      <c r="F171" s="30"/>
      <c r="G171" s="30"/>
      <c r="H171" s="30"/>
      <c r="I171" s="30"/>
      <c r="J171" s="30"/>
      <c r="K171" s="30"/>
      <c r="L171" s="30"/>
      <c r="M171" s="33"/>
      <c r="N171" s="5"/>
    </row>
    <row r="172" spans="1:1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5"/>
    </row>
    <row r="173" spans="1:14">
      <c r="A173" s="14" t="s">
        <v>120</v>
      </c>
      <c r="B173" s="12" t="s">
        <v>121</v>
      </c>
      <c r="C173" s="10" t="s">
        <v>307</v>
      </c>
      <c r="D173" s="12"/>
      <c r="E173" s="10" t="s">
        <v>307</v>
      </c>
      <c r="F173" s="12"/>
      <c r="G173" s="12"/>
      <c r="H173" s="12"/>
      <c r="I173" s="12"/>
      <c r="J173" s="12"/>
      <c r="K173" s="15"/>
      <c r="L173" s="13">
        <f>2810+49</f>
        <v>2859</v>
      </c>
      <c r="M173" s="12" t="s">
        <v>122</v>
      </c>
      <c r="N173" s="5">
        <f>SUM(B173:L174)</f>
        <v>30328</v>
      </c>
    </row>
    <row r="174" spans="1:14">
      <c r="A174" s="13"/>
      <c r="B174" s="13">
        <v>24181</v>
      </c>
      <c r="C174" s="5">
        <v>2755</v>
      </c>
      <c r="D174" s="13"/>
      <c r="E174" s="13">
        <v>533</v>
      </c>
      <c r="F174" s="13"/>
      <c r="G174" s="13"/>
      <c r="H174" s="13"/>
      <c r="I174" s="13"/>
      <c r="J174" s="13"/>
      <c r="K174" s="13"/>
      <c r="L174" s="13"/>
      <c r="M174" s="14"/>
      <c r="N174" s="5"/>
    </row>
    <row r="175" spans="1:1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5"/>
    </row>
    <row r="176" spans="1:14">
      <c r="A176" s="33" t="s">
        <v>134</v>
      </c>
      <c r="B176" s="32" t="s">
        <v>410</v>
      </c>
      <c r="C176" s="32" t="s">
        <v>217</v>
      </c>
      <c r="D176" s="32"/>
      <c r="E176" s="32" t="s">
        <v>217</v>
      </c>
      <c r="F176" s="32" t="s">
        <v>410</v>
      </c>
      <c r="G176" s="32" t="s">
        <v>410</v>
      </c>
      <c r="H176" s="32"/>
      <c r="I176" s="32"/>
      <c r="J176" s="32"/>
      <c r="K176" s="32"/>
      <c r="L176" s="30">
        <f>3441+61</f>
        <v>3502</v>
      </c>
      <c r="M176" s="32" t="s">
        <v>411</v>
      </c>
      <c r="N176" s="5">
        <f>SUM(B176:L177)</f>
        <v>66226</v>
      </c>
    </row>
    <row r="177" spans="1:14">
      <c r="A177" s="30"/>
      <c r="B177" s="30">
        <v>50716</v>
      </c>
      <c r="C177" s="30">
        <v>4409</v>
      </c>
      <c r="D177" s="30"/>
      <c r="E177" s="30">
        <v>737</v>
      </c>
      <c r="F177" s="30">
        <v>5664</v>
      </c>
      <c r="G177" s="30">
        <v>1198</v>
      </c>
      <c r="H177" s="30"/>
      <c r="I177" s="30"/>
      <c r="J177" s="30"/>
      <c r="K177" s="30"/>
      <c r="L177" s="30"/>
      <c r="M177" s="33"/>
      <c r="N177" s="5"/>
    </row>
    <row r="178" spans="1:14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>
      <c r="A179" s="14" t="s">
        <v>139</v>
      </c>
      <c r="B179" s="15" t="s">
        <v>394</v>
      </c>
      <c r="C179" s="15"/>
      <c r="D179" s="15"/>
      <c r="E179" s="15"/>
      <c r="F179" s="15" t="s">
        <v>394</v>
      </c>
      <c r="G179" s="15"/>
      <c r="H179" s="15"/>
      <c r="I179" s="15"/>
      <c r="J179" s="15"/>
      <c r="K179" s="15"/>
      <c r="L179" s="15">
        <f>5160+122</f>
        <v>5282</v>
      </c>
      <c r="M179" s="15" t="s">
        <v>395</v>
      </c>
      <c r="N179" s="5">
        <f>SUM(B179:L180)</f>
        <v>40676</v>
      </c>
    </row>
    <row r="180" spans="1:14">
      <c r="A180" s="13"/>
      <c r="B180" s="13">
        <v>32792</v>
      </c>
      <c r="C180" s="13"/>
      <c r="D180" s="13"/>
      <c r="E180" s="13"/>
      <c r="F180" s="13">
        <v>2602</v>
      </c>
      <c r="G180" s="13"/>
      <c r="H180" s="13"/>
      <c r="I180" s="13"/>
      <c r="J180" s="13"/>
      <c r="K180" s="13"/>
      <c r="L180" s="13"/>
      <c r="M180" s="13"/>
      <c r="N180" s="5"/>
    </row>
    <row r="181" spans="1:1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5"/>
    </row>
    <row r="182" spans="1:14">
      <c r="A182" s="33" t="s">
        <v>142</v>
      </c>
      <c r="B182" s="32" t="s">
        <v>412</v>
      </c>
      <c r="C182" s="32" t="s">
        <v>224</v>
      </c>
      <c r="D182" s="31"/>
      <c r="E182" s="32"/>
      <c r="F182" s="32"/>
      <c r="G182" s="32"/>
      <c r="H182" s="32"/>
      <c r="I182" s="32"/>
      <c r="J182" s="32"/>
      <c r="K182" s="32"/>
      <c r="L182" s="30">
        <f>2923+766</f>
        <v>3689</v>
      </c>
      <c r="M182" s="32" t="s">
        <v>413</v>
      </c>
      <c r="N182" s="5">
        <f>SUM(B182:L183)</f>
        <v>33626</v>
      </c>
    </row>
    <row r="183" spans="1:14">
      <c r="A183" s="30"/>
      <c r="B183" s="30">
        <v>28424</v>
      </c>
      <c r="C183" s="30">
        <v>1513</v>
      </c>
      <c r="D183" s="31"/>
      <c r="E183" s="30"/>
      <c r="F183" s="30"/>
      <c r="G183" s="30"/>
      <c r="H183" s="30"/>
      <c r="I183" s="30"/>
      <c r="J183" s="30"/>
      <c r="K183" s="33"/>
      <c r="L183" s="30"/>
      <c r="M183" s="33"/>
      <c r="N183" s="5"/>
    </row>
    <row r="184" spans="1:1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5"/>
    </row>
    <row r="185" spans="1:14">
      <c r="A185" s="14" t="s">
        <v>145</v>
      </c>
      <c r="B185" s="12" t="s">
        <v>414</v>
      </c>
      <c r="C185" s="12" t="s">
        <v>415</v>
      </c>
      <c r="D185" s="12"/>
      <c r="E185" s="12"/>
      <c r="F185" s="12" t="s">
        <v>414</v>
      </c>
      <c r="G185" s="12"/>
      <c r="H185" s="12"/>
      <c r="I185" s="12"/>
      <c r="J185" s="12"/>
      <c r="K185" s="12"/>
      <c r="L185" s="13">
        <f>1980+17</f>
        <v>1997</v>
      </c>
      <c r="M185" s="12" t="s">
        <v>502</v>
      </c>
      <c r="N185" s="5">
        <f>SUM(B185:L186)</f>
        <v>38218</v>
      </c>
    </row>
    <row r="186" spans="1:14">
      <c r="A186" s="13"/>
      <c r="B186" s="13">
        <v>34172</v>
      </c>
      <c r="C186" s="13">
        <v>869</v>
      </c>
      <c r="D186" s="13"/>
      <c r="E186" s="13"/>
      <c r="F186" s="13">
        <v>1180</v>
      </c>
      <c r="G186" s="13"/>
      <c r="H186" s="13"/>
      <c r="I186" s="13"/>
      <c r="J186" s="13"/>
      <c r="K186" s="14"/>
      <c r="L186" s="13"/>
      <c r="M186" s="14"/>
      <c r="N186" s="5"/>
    </row>
    <row r="187" spans="1:14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5"/>
    </row>
    <row r="188" spans="1:14">
      <c r="A188" s="33" t="s">
        <v>150</v>
      </c>
      <c r="B188" s="32" t="s">
        <v>312</v>
      </c>
      <c r="C188" s="32"/>
      <c r="D188" s="32"/>
      <c r="E188" s="32"/>
      <c r="F188" s="32" t="s">
        <v>312</v>
      </c>
      <c r="G188" s="32"/>
      <c r="H188" s="32"/>
      <c r="I188" s="32"/>
      <c r="J188" s="32"/>
      <c r="K188" s="32"/>
      <c r="L188" s="30">
        <f>3284+80</f>
        <v>3364</v>
      </c>
      <c r="M188" s="32" t="s">
        <v>503</v>
      </c>
      <c r="N188" s="5">
        <f>SUM(B188:L189)</f>
        <v>45200</v>
      </c>
    </row>
    <row r="189" spans="1:14">
      <c r="A189" s="30"/>
      <c r="B189" s="30">
        <v>39040</v>
      </c>
      <c r="C189" s="30"/>
      <c r="D189" s="30"/>
      <c r="E189" s="30"/>
      <c r="F189" s="30">
        <v>2796</v>
      </c>
      <c r="G189" s="30"/>
      <c r="H189" s="30"/>
      <c r="I189" s="30"/>
      <c r="J189" s="30"/>
      <c r="K189" s="30"/>
      <c r="L189" s="30"/>
      <c r="M189" s="33"/>
      <c r="N189" s="5"/>
    </row>
    <row r="190" spans="1:14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5"/>
    </row>
    <row r="191" spans="1:14">
      <c r="A191" s="14" t="s">
        <v>154</v>
      </c>
      <c r="B191" s="12" t="s">
        <v>344</v>
      </c>
      <c r="C191" s="12"/>
      <c r="D191" s="12"/>
      <c r="E191" s="12"/>
      <c r="F191" s="12" t="s">
        <v>344</v>
      </c>
      <c r="G191" s="12"/>
      <c r="H191" s="12"/>
      <c r="I191" s="12"/>
      <c r="J191" s="12"/>
      <c r="K191" s="12"/>
      <c r="L191" s="13">
        <f>4000+148</f>
        <v>4148</v>
      </c>
      <c r="M191" s="12" t="s">
        <v>345</v>
      </c>
      <c r="N191" s="5">
        <f>SUM(B191:L192)</f>
        <v>59206</v>
      </c>
    </row>
    <row r="192" spans="1:14">
      <c r="A192" s="13"/>
      <c r="B192" s="13">
        <v>49410</v>
      </c>
      <c r="C192" s="13"/>
      <c r="D192" s="13"/>
      <c r="E192" s="13"/>
      <c r="F192" s="13">
        <v>5648</v>
      </c>
      <c r="G192" s="13"/>
      <c r="H192" s="13"/>
      <c r="I192" s="13"/>
      <c r="J192" s="13"/>
      <c r="K192" s="13"/>
      <c r="L192" s="13"/>
      <c r="M192" s="13"/>
      <c r="N192" s="5"/>
    </row>
    <row r="193" spans="1:14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5"/>
    </row>
    <row r="194" spans="1:14">
      <c r="A194" s="33" t="s">
        <v>158</v>
      </c>
      <c r="B194" s="32" t="s">
        <v>159</v>
      </c>
      <c r="C194" s="32"/>
      <c r="D194" s="32"/>
      <c r="E194" s="32"/>
      <c r="F194" s="32" t="s">
        <v>504</v>
      </c>
      <c r="G194" s="32"/>
      <c r="H194" s="32" t="s">
        <v>504</v>
      </c>
      <c r="I194" s="32"/>
      <c r="J194" s="32"/>
      <c r="K194" s="32"/>
      <c r="L194" s="30">
        <f>2358+48</f>
        <v>2406</v>
      </c>
      <c r="M194" s="32" t="s">
        <v>160</v>
      </c>
      <c r="N194" s="5">
        <f>SUM(B194:L195)</f>
        <v>43118</v>
      </c>
    </row>
    <row r="195" spans="1:14">
      <c r="A195" s="30"/>
      <c r="B195" s="30">
        <v>39795</v>
      </c>
      <c r="C195" s="30"/>
      <c r="D195" s="30"/>
      <c r="E195" s="30"/>
      <c r="F195" s="30">
        <v>696</v>
      </c>
      <c r="G195" s="30"/>
      <c r="H195" s="30">
        <v>221</v>
      </c>
      <c r="I195" s="30"/>
      <c r="J195" s="30"/>
      <c r="K195" s="30"/>
      <c r="L195" s="30"/>
      <c r="M195" s="33"/>
      <c r="N195" s="5"/>
    </row>
    <row r="196" spans="1:1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5"/>
    </row>
    <row r="197" spans="1:14">
      <c r="A197" s="14" t="s">
        <v>166</v>
      </c>
      <c r="B197" s="12" t="s">
        <v>407</v>
      </c>
      <c r="C197" s="12" t="s">
        <v>416</v>
      </c>
      <c r="D197" s="12"/>
      <c r="E197" s="12" t="s">
        <v>416</v>
      </c>
      <c r="F197" s="12" t="s">
        <v>407</v>
      </c>
      <c r="G197" s="12"/>
      <c r="H197" s="12"/>
      <c r="I197" s="12"/>
      <c r="J197" s="12"/>
      <c r="K197" s="5"/>
      <c r="L197" s="13">
        <f>3200+41</f>
        <v>3241</v>
      </c>
      <c r="M197" s="12" t="s">
        <v>505</v>
      </c>
      <c r="N197" s="5">
        <f>SUM(B197:L198)</f>
        <v>45918</v>
      </c>
    </row>
    <row r="198" spans="1:14">
      <c r="A198" s="13"/>
      <c r="B198" s="13">
        <v>32365</v>
      </c>
      <c r="C198" s="13">
        <v>7922</v>
      </c>
      <c r="D198" s="13"/>
      <c r="E198" s="13">
        <v>1426</v>
      </c>
      <c r="F198" s="13">
        <v>964</v>
      </c>
      <c r="G198" s="13"/>
      <c r="H198" s="13"/>
      <c r="I198" s="13"/>
      <c r="J198" s="13"/>
      <c r="K198" s="5"/>
      <c r="L198" s="13"/>
      <c r="M198" s="14"/>
      <c r="N198" s="5"/>
    </row>
    <row r="199" spans="1:14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5"/>
    </row>
    <row r="200" spans="1:14">
      <c r="A200" s="33" t="s">
        <v>170</v>
      </c>
      <c r="B200" s="32" t="s">
        <v>275</v>
      </c>
      <c r="C200" s="32"/>
      <c r="D200" s="32"/>
      <c r="E200" s="32" t="s">
        <v>419</v>
      </c>
      <c r="F200" s="32"/>
      <c r="G200" s="32"/>
      <c r="H200" s="32"/>
      <c r="I200" s="32"/>
      <c r="J200" s="32"/>
      <c r="K200" s="32"/>
      <c r="L200" s="30">
        <f>3211+37</f>
        <v>3248</v>
      </c>
      <c r="M200" s="29" t="s">
        <v>417</v>
      </c>
      <c r="N200" s="17">
        <f>SUM(B200:L201)</f>
        <v>41642</v>
      </c>
    </row>
    <row r="201" spans="1:14">
      <c r="A201" s="30"/>
      <c r="B201" s="30">
        <v>37051</v>
      </c>
      <c r="C201" s="30"/>
      <c r="D201" s="30"/>
      <c r="E201" s="30">
        <v>1343</v>
      </c>
      <c r="F201" s="30"/>
      <c r="G201" s="30"/>
      <c r="H201" s="30"/>
      <c r="I201" s="30"/>
      <c r="J201" s="30"/>
      <c r="K201" s="30"/>
      <c r="L201" s="30"/>
      <c r="M201" s="30"/>
      <c r="N201" s="5"/>
    </row>
    <row r="202" spans="1:14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>
      <c r="A203" s="5" t="s">
        <v>5</v>
      </c>
      <c r="B203" s="15" t="s">
        <v>272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>
        <f>10794+245</f>
        <v>11039</v>
      </c>
      <c r="M203" s="10" t="s">
        <v>276</v>
      </c>
      <c r="N203" s="5">
        <f>SUM(B203:L204)</f>
        <v>42789</v>
      </c>
    </row>
    <row r="204" spans="1:14">
      <c r="A204" s="5"/>
      <c r="B204" s="13">
        <v>31750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5"/>
      <c r="N204" s="5"/>
    </row>
    <row r="205" spans="1:14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>
      <c r="A206" s="33" t="s">
        <v>8</v>
      </c>
      <c r="B206" s="29"/>
      <c r="C206" s="29" t="s">
        <v>506</v>
      </c>
      <c r="D206" s="29" t="s">
        <v>506</v>
      </c>
      <c r="E206" s="29" t="s">
        <v>506</v>
      </c>
      <c r="F206" s="29"/>
      <c r="G206" s="29"/>
      <c r="H206" s="29" t="s">
        <v>506</v>
      </c>
      <c r="I206" s="29"/>
      <c r="J206" s="29"/>
      <c r="K206" s="29"/>
      <c r="L206" s="29">
        <f>10499+315</f>
        <v>10814</v>
      </c>
      <c r="M206" s="29" t="s">
        <v>507</v>
      </c>
      <c r="N206" s="5">
        <f>SUM(B206:L207)</f>
        <v>55265</v>
      </c>
    </row>
    <row r="207" spans="1:14">
      <c r="A207" s="30"/>
      <c r="B207" s="30"/>
      <c r="C207" s="30">
        <v>37683</v>
      </c>
      <c r="D207" s="30">
        <v>2593</v>
      </c>
      <c r="E207" s="30">
        <v>3764</v>
      </c>
      <c r="F207" s="30"/>
      <c r="G207" s="30"/>
      <c r="H207" s="30">
        <v>411</v>
      </c>
      <c r="I207" s="30"/>
      <c r="J207" s="30"/>
      <c r="K207" s="30"/>
      <c r="L207" s="30"/>
      <c r="M207" s="30"/>
      <c r="N207" s="5"/>
    </row>
    <row r="208" spans="1:1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5"/>
    </row>
    <row r="209" spans="1:14">
      <c r="A209" s="14" t="s">
        <v>14</v>
      </c>
      <c r="B209" s="12" t="s">
        <v>225</v>
      </c>
      <c r="C209" s="12"/>
      <c r="D209" s="12" t="s">
        <v>225</v>
      </c>
      <c r="E209" s="12" t="s">
        <v>418</v>
      </c>
      <c r="F209" s="12"/>
      <c r="G209" s="12"/>
      <c r="H209" s="12"/>
      <c r="I209" s="12"/>
      <c r="J209" s="12"/>
      <c r="K209" s="12"/>
      <c r="L209" s="13">
        <f>13136+142</f>
        <v>13278</v>
      </c>
      <c r="M209" s="12" t="s">
        <v>226</v>
      </c>
      <c r="N209" s="5">
        <f>SUM(B209:L210)</f>
        <v>47837</v>
      </c>
    </row>
    <row r="210" spans="1:14">
      <c r="A210" s="13"/>
      <c r="B210" s="13">
        <v>24104</v>
      </c>
      <c r="C210" s="13"/>
      <c r="D210" s="13">
        <v>2234</v>
      </c>
      <c r="E210" s="13">
        <v>8221</v>
      </c>
      <c r="F210" s="13"/>
      <c r="G210" s="13"/>
      <c r="H210" s="13"/>
      <c r="I210" s="13"/>
      <c r="J210" s="13"/>
      <c r="K210" s="13"/>
      <c r="L210" s="13"/>
      <c r="M210" s="14"/>
      <c r="N210" s="5"/>
    </row>
    <row r="211" spans="1:1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5"/>
    </row>
    <row r="212" spans="1:14">
      <c r="A212" s="33" t="s">
        <v>23</v>
      </c>
      <c r="B212" s="32"/>
      <c r="C212" s="32" t="s">
        <v>308</v>
      </c>
      <c r="D212" s="32" t="s">
        <v>308</v>
      </c>
      <c r="E212" s="32" t="s">
        <v>308</v>
      </c>
      <c r="F212" s="32"/>
      <c r="G212" s="32"/>
      <c r="H212" s="32" t="s">
        <v>308</v>
      </c>
      <c r="I212" s="32"/>
      <c r="J212" s="32"/>
      <c r="K212" s="32"/>
      <c r="L212" s="30">
        <f>11231+399</f>
        <v>11630</v>
      </c>
      <c r="M212" s="32" t="s">
        <v>309</v>
      </c>
      <c r="N212" s="5">
        <f>SUM(B212:L213)</f>
        <v>46163</v>
      </c>
    </row>
    <row r="213" spans="1:14">
      <c r="A213" s="30"/>
      <c r="B213" s="30"/>
      <c r="C213" s="30">
        <v>26907</v>
      </c>
      <c r="D213" s="30">
        <v>3629</v>
      </c>
      <c r="E213" s="30">
        <v>3212</v>
      </c>
      <c r="F213" s="30"/>
      <c r="G213" s="30"/>
      <c r="H213" s="30">
        <v>785</v>
      </c>
      <c r="I213" s="30"/>
      <c r="J213" s="30"/>
      <c r="K213" s="33"/>
      <c r="L213" s="30"/>
      <c r="M213" s="33"/>
      <c r="N213" s="5"/>
    </row>
    <row r="214" spans="1:1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5"/>
    </row>
    <row r="215" spans="1:14">
      <c r="A215" s="14" t="s">
        <v>29</v>
      </c>
      <c r="B215" s="15" t="s">
        <v>508</v>
      </c>
      <c r="C215" s="15" t="s">
        <v>509</v>
      </c>
      <c r="D215" s="15"/>
      <c r="E215" s="15"/>
      <c r="F215" s="15" t="s">
        <v>508</v>
      </c>
      <c r="G215" s="15" t="s">
        <v>592</v>
      </c>
      <c r="H215" s="15" t="s">
        <v>509</v>
      </c>
      <c r="I215" s="15" t="s">
        <v>591</v>
      </c>
      <c r="J215" s="15"/>
      <c r="K215" s="15"/>
      <c r="L215" s="15">
        <f>5387+64</f>
        <v>5451</v>
      </c>
      <c r="M215" s="15" t="s">
        <v>510</v>
      </c>
      <c r="N215" s="5">
        <f>SUM(B215:L216)</f>
        <v>44447</v>
      </c>
    </row>
    <row r="216" spans="1:14">
      <c r="A216" s="13"/>
      <c r="B216" s="13">
        <v>27987</v>
      </c>
      <c r="C216" s="13">
        <v>5624</v>
      </c>
      <c r="D216" s="13"/>
      <c r="E216" s="13"/>
      <c r="F216" s="13">
        <v>1729</v>
      </c>
      <c r="G216" s="13">
        <v>2171</v>
      </c>
      <c r="H216" s="13">
        <v>137</v>
      </c>
      <c r="I216" s="13">
        <v>1348</v>
      </c>
      <c r="J216" s="13"/>
      <c r="K216" s="13"/>
      <c r="L216" s="13"/>
      <c r="M216" s="13"/>
      <c r="N216" s="5"/>
    </row>
    <row r="217" spans="1:14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5"/>
    </row>
    <row r="218" spans="1:14">
      <c r="A218" s="33" t="s">
        <v>36</v>
      </c>
      <c r="B218" s="32" t="s">
        <v>37</v>
      </c>
      <c r="C218" s="32"/>
      <c r="D218" s="32"/>
      <c r="E218" s="32"/>
      <c r="F218" s="32" t="s">
        <v>511</v>
      </c>
      <c r="G218" s="32"/>
      <c r="H218" s="32"/>
      <c r="I218" s="32"/>
      <c r="J218" s="32"/>
      <c r="K218" s="32"/>
      <c r="L218" s="30">
        <f>8711+390</f>
        <v>9101</v>
      </c>
      <c r="M218" s="32" t="s">
        <v>38</v>
      </c>
      <c r="N218" s="5">
        <f>SUM(B218:L219)</f>
        <v>59632</v>
      </c>
    </row>
    <row r="219" spans="1:14">
      <c r="A219" s="30"/>
      <c r="B219" s="30">
        <v>46649</v>
      </c>
      <c r="C219" s="30"/>
      <c r="D219" s="30"/>
      <c r="E219" s="30"/>
      <c r="F219" s="30">
        <v>3882</v>
      </c>
      <c r="G219" s="30"/>
      <c r="H219" s="30"/>
      <c r="I219" s="30"/>
      <c r="J219" s="30"/>
      <c r="K219" s="33"/>
      <c r="L219" s="30"/>
      <c r="M219" s="30"/>
      <c r="N219" s="5"/>
    </row>
    <row r="220" spans="1:14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5"/>
    </row>
    <row r="221" spans="1:14">
      <c r="A221" s="14" t="s">
        <v>46</v>
      </c>
      <c r="B221" s="12" t="s">
        <v>263</v>
      </c>
      <c r="C221" s="12" t="s">
        <v>512</v>
      </c>
      <c r="D221" s="12"/>
      <c r="E221" s="12"/>
      <c r="F221" s="12" t="s">
        <v>263</v>
      </c>
      <c r="G221" s="12"/>
      <c r="H221" s="12" t="s">
        <v>512</v>
      </c>
      <c r="I221" s="12"/>
      <c r="J221" s="12"/>
      <c r="K221" s="12"/>
      <c r="L221" s="13">
        <f>4097+76</f>
        <v>4173</v>
      </c>
      <c r="M221" s="12" t="s">
        <v>264</v>
      </c>
      <c r="N221" s="5">
        <f>SUM(B221:L222)</f>
        <v>65165</v>
      </c>
    </row>
    <row r="222" spans="1:14">
      <c r="A222" s="13"/>
      <c r="B222" s="13">
        <v>50070</v>
      </c>
      <c r="C222" s="13">
        <v>8321</v>
      </c>
      <c r="D222" s="13"/>
      <c r="E222" s="13"/>
      <c r="F222" s="13">
        <v>2412</v>
      </c>
      <c r="G222" s="13"/>
      <c r="H222" s="13">
        <v>189</v>
      </c>
      <c r="I222" s="13"/>
      <c r="J222" s="13"/>
      <c r="K222" s="14"/>
      <c r="L222" s="13"/>
      <c r="M222" s="14"/>
      <c r="N222" s="5"/>
    </row>
    <row r="223" spans="1:14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5"/>
    </row>
    <row r="224" spans="1:14">
      <c r="A224" s="33" t="s">
        <v>51</v>
      </c>
      <c r="B224" s="29" t="s">
        <v>310</v>
      </c>
      <c r="C224" s="29" t="s">
        <v>513</v>
      </c>
      <c r="D224" s="29" t="s">
        <v>513</v>
      </c>
      <c r="E224" s="29"/>
      <c r="F224" s="29"/>
      <c r="G224" s="29" t="s">
        <v>310</v>
      </c>
      <c r="H224" s="29" t="s">
        <v>513</v>
      </c>
      <c r="I224" s="29"/>
      <c r="J224" s="29"/>
      <c r="K224" s="29" t="s">
        <v>514</v>
      </c>
      <c r="L224" s="30">
        <f>4522+31</f>
        <v>4553</v>
      </c>
      <c r="M224" s="29" t="s">
        <v>311</v>
      </c>
      <c r="N224" s="5">
        <f>SUM(B224:L225)</f>
        <v>47232</v>
      </c>
    </row>
    <row r="225" spans="1:14">
      <c r="A225" s="30"/>
      <c r="B225" s="30">
        <v>38151</v>
      </c>
      <c r="C225" s="30">
        <v>3125</v>
      </c>
      <c r="D225" s="30">
        <v>342</v>
      </c>
      <c r="E225" s="30"/>
      <c r="F225" s="30"/>
      <c r="G225" s="30">
        <v>608</v>
      </c>
      <c r="H225" s="30">
        <v>216</v>
      </c>
      <c r="I225" s="30"/>
      <c r="J225" s="30"/>
      <c r="K225" s="29">
        <v>237</v>
      </c>
      <c r="L225" s="30"/>
      <c r="M225" s="30"/>
      <c r="N225" s="5"/>
    </row>
    <row r="226" spans="1:14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5"/>
    </row>
    <row r="227" spans="1:14">
      <c r="A227" s="14" t="s">
        <v>58</v>
      </c>
      <c r="B227" s="12" t="s">
        <v>227</v>
      </c>
      <c r="C227" s="12" t="s">
        <v>515</v>
      </c>
      <c r="D227" s="12"/>
      <c r="E227" s="12"/>
      <c r="F227" s="12"/>
      <c r="G227" s="12"/>
      <c r="H227" s="12"/>
      <c r="I227" s="12"/>
      <c r="J227" s="12"/>
      <c r="K227" s="15"/>
      <c r="L227" s="13">
        <f>5962+76</f>
        <v>6038</v>
      </c>
      <c r="M227" s="12" t="s">
        <v>228</v>
      </c>
      <c r="N227" s="5">
        <f>SUM(B227:L228)</f>
        <v>60898</v>
      </c>
    </row>
    <row r="228" spans="1:14">
      <c r="A228" s="13"/>
      <c r="B228" s="13">
        <v>49526</v>
      </c>
      <c r="C228" s="13">
        <v>5334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5"/>
    </row>
    <row r="229" spans="1:14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5"/>
    </row>
    <row r="230" spans="1:14">
      <c r="A230" s="33" t="s">
        <v>62</v>
      </c>
      <c r="B230" s="32" t="s">
        <v>516</v>
      </c>
      <c r="C230" s="32" t="s">
        <v>517</v>
      </c>
      <c r="D230" s="32" t="s">
        <v>517</v>
      </c>
      <c r="E230" s="32"/>
      <c r="F230" s="32"/>
      <c r="G230" s="32"/>
      <c r="H230" s="32" t="s">
        <v>517</v>
      </c>
      <c r="I230" s="32"/>
      <c r="J230" s="32"/>
      <c r="K230" s="32"/>
      <c r="L230" s="30">
        <f>5267+99</f>
        <v>5366</v>
      </c>
      <c r="M230" s="32" t="s">
        <v>518</v>
      </c>
      <c r="N230" s="5">
        <f>SUM(B230:L231)</f>
        <v>53863</v>
      </c>
    </row>
    <row r="231" spans="1:14">
      <c r="A231" s="30"/>
      <c r="B231" s="30">
        <v>45048</v>
      </c>
      <c r="C231" s="30">
        <v>2316</v>
      </c>
      <c r="D231" s="30">
        <v>648</v>
      </c>
      <c r="E231" s="30"/>
      <c r="F231" s="30"/>
      <c r="G231" s="30"/>
      <c r="H231" s="30">
        <v>485</v>
      </c>
      <c r="I231" s="30"/>
      <c r="J231" s="30"/>
      <c r="K231" s="33"/>
      <c r="L231" s="30"/>
      <c r="M231" s="33"/>
      <c r="N231" s="5"/>
    </row>
    <row r="232" spans="1:14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5"/>
    </row>
    <row r="233" spans="1:14">
      <c r="A233" s="14" t="s">
        <v>67</v>
      </c>
      <c r="B233" s="12" t="s">
        <v>68</v>
      </c>
      <c r="C233" s="12" t="s">
        <v>519</v>
      </c>
      <c r="D233" s="12"/>
      <c r="E233" s="12"/>
      <c r="F233" s="12"/>
      <c r="G233" s="12"/>
      <c r="H233" s="12" t="s">
        <v>519</v>
      </c>
      <c r="I233" s="12"/>
      <c r="J233" s="12"/>
      <c r="K233" s="12"/>
      <c r="L233" s="13">
        <f>6021+70</f>
        <v>6091</v>
      </c>
      <c r="M233" s="12" t="s">
        <v>69</v>
      </c>
      <c r="N233" s="5">
        <f>SUM(B233:L234)</f>
        <v>52790</v>
      </c>
    </row>
    <row r="234" spans="1:14">
      <c r="A234" s="13"/>
      <c r="B234" s="13">
        <v>43183</v>
      </c>
      <c r="C234" s="13">
        <v>2758</v>
      </c>
      <c r="D234" s="13"/>
      <c r="E234" s="13"/>
      <c r="F234" s="13"/>
      <c r="G234" s="13"/>
      <c r="H234" s="13">
        <v>758</v>
      </c>
      <c r="I234" s="13"/>
      <c r="J234" s="13"/>
      <c r="K234" s="13"/>
      <c r="L234" s="13"/>
      <c r="M234" s="14"/>
      <c r="N234" s="5"/>
    </row>
    <row r="235" spans="1:14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5"/>
    </row>
    <row r="236" spans="1:14">
      <c r="A236" s="33" t="s">
        <v>72</v>
      </c>
      <c r="B236" s="32" t="s">
        <v>520</v>
      </c>
      <c r="C236" s="32"/>
      <c r="D236" s="32"/>
      <c r="E236" s="32"/>
      <c r="F236" s="32"/>
      <c r="G236" s="32"/>
      <c r="H236" s="32"/>
      <c r="I236" s="32"/>
      <c r="J236" s="32"/>
      <c r="K236" s="32"/>
      <c r="L236" s="30">
        <f>9405+185</f>
        <v>9590</v>
      </c>
      <c r="M236" s="32" t="s">
        <v>521</v>
      </c>
      <c r="N236" s="5">
        <f>SUM(B236:L237)</f>
        <v>46622</v>
      </c>
    </row>
    <row r="237" spans="1:14">
      <c r="A237" s="30"/>
      <c r="B237" s="30">
        <v>37032</v>
      </c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3"/>
      <c r="N237" s="5"/>
    </row>
    <row r="238" spans="1:14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5"/>
    </row>
    <row r="239" spans="1:14">
      <c r="A239" s="14" t="s">
        <v>79</v>
      </c>
      <c r="B239" s="12" t="s">
        <v>346</v>
      </c>
      <c r="C239" s="12" t="s">
        <v>522</v>
      </c>
      <c r="D239" s="12" t="s">
        <v>522</v>
      </c>
      <c r="E239" s="12"/>
      <c r="F239" s="12" t="s">
        <v>346</v>
      </c>
      <c r="G239" s="12" t="s">
        <v>594</v>
      </c>
      <c r="H239" s="12" t="s">
        <v>594</v>
      </c>
      <c r="I239" s="12" t="s">
        <v>593</v>
      </c>
      <c r="J239" s="12" t="s">
        <v>594</v>
      </c>
      <c r="K239" s="15" t="s">
        <v>523</v>
      </c>
      <c r="L239" s="13">
        <f>3715+40</f>
        <v>3755</v>
      </c>
      <c r="M239" s="12" t="s">
        <v>347</v>
      </c>
      <c r="N239" s="5">
        <f>SUM(B239:L240)</f>
        <v>60412</v>
      </c>
    </row>
    <row r="240" spans="1:14">
      <c r="A240" s="13"/>
      <c r="B240" s="13">
        <v>34695</v>
      </c>
      <c r="C240" s="13">
        <v>18474</v>
      </c>
      <c r="D240" s="13">
        <v>775</v>
      </c>
      <c r="E240" s="13"/>
      <c r="F240" s="13">
        <v>840</v>
      </c>
      <c r="G240" s="13">
        <v>267</v>
      </c>
      <c r="H240" s="13">
        <v>82</v>
      </c>
      <c r="I240" s="13">
        <v>584</v>
      </c>
      <c r="J240" s="13">
        <v>325</v>
      </c>
      <c r="K240" s="15">
        <v>615</v>
      </c>
      <c r="L240" s="13"/>
      <c r="M240" s="14"/>
      <c r="N240" s="5"/>
    </row>
    <row r="241" spans="1:14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5"/>
    </row>
    <row r="242" spans="1:14">
      <c r="A242" s="33" t="s">
        <v>87</v>
      </c>
      <c r="B242" s="32" t="s">
        <v>266</v>
      </c>
      <c r="C242" s="32" t="s">
        <v>524</v>
      </c>
      <c r="D242" s="32"/>
      <c r="E242" s="32"/>
      <c r="F242" s="32" t="s">
        <v>266</v>
      </c>
      <c r="G242" s="32"/>
      <c r="H242" s="32" t="s">
        <v>524</v>
      </c>
      <c r="I242" s="32" t="s">
        <v>595</v>
      </c>
      <c r="J242" s="32"/>
      <c r="K242" s="29"/>
      <c r="L242" s="30">
        <f>5069+38</f>
        <v>5107</v>
      </c>
      <c r="M242" s="32" t="s">
        <v>265</v>
      </c>
      <c r="N242" s="5">
        <f>SUM(B242:L243)</f>
        <v>53916</v>
      </c>
    </row>
    <row r="243" spans="1:14">
      <c r="A243" s="30"/>
      <c r="B243" s="30">
        <v>37627</v>
      </c>
      <c r="C243" s="30">
        <v>7163</v>
      </c>
      <c r="D243" s="30"/>
      <c r="E243" s="30"/>
      <c r="F243" s="30">
        <v>2251</v>
      </c>
      <c r="G243" s="30"/>
      <c r="H243" s="30">
        <v>199</v>
      </c>
      <c r="I243" s="30">
        <v>1569</v>
      </c>
      <c r="J243" s="30"/>
      <c r="K243" s="30"/>
      <c r="L243" s="30"/>
      <c r="M243" s="30"/>
      <c r="N243" s="5"/>
    </row>
    <row r="244" spans="1:14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5"/>
    </row>
    <row r="245" spans="1:14" ht="17.25">
      <c r="A245" s="33" t="s">
        <v>2864</v>
      </c>
      <c r="B245" s="29" t="s">
        <v>671</v>
      </c>
      <c r="C245" s="29" t="s">
        <v>672</v>
      </c>
      <c r="D245" s="29"/>
      <c r="E245" s="29"/>
      <c r="F245" s="29" t="s">
        <v>671</v>
      </c>
      <c r="G245" s="29"/>
      <c r="H245" s="29" t="s">
        <v>673</v>
      </c>
      <c r="I245" s="29" t="s">
        <v>2865</v>
      </c>
      <c r="J245" s="29"/>
      <c r="K245" s="29"/>
      <c r="L245" s="29">
        <f>17+13</f>
        <v>30</v>
      </c>
      <c r="M245" s="29" t="s">
        <v>2866</v>
      </c>
      <c r="N245" s="5"/>
    </row>
    <row r="246" spans="1:14">
      <c r="A246" s="30"/>
      <c r="B246" s="30">
        <v>3541</v>
      </c>
      <c r="C246" s="30">
        <v>248</v>
      </c>
      <c r="D246" s="30"/>
      <c r="E246" s="30"/>
      <c r="F246" s="30">
        <v>616</v>
      </c>
      <c r="G246" s="30"/>
      <c r="H246" s="30">
        <v>103</v>
      </c>
      <c r="I246" s="30">
        <v>104</v>
      </c>
      <c r="J246" s="30"/>
      <c r="K246" s="30"/>
      <c r="L246" s="30"/>
      <c r="M246" s="30"/>
      <c r="N246" s="5"/>
    </row>
    <row r="247" spans="1:14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5"/>
    </row>
    <row r="248" spans="1:14">
      <c r="A248" s="14" t="s">
        <v>92</v>
      </c>
      <c r="B248" s="12" t="s">
        <v>201</v>
      </c>
      <c r="C248" s="12" t="s">
        <v>525</v>
      </c>
      <c r="D248" s="12"/>
      <c r="E248" s="12"/>
      <c r="F248" s="12" t="s">
        <v>201</v>
      </c>
      <c r="G248" s="12"/>
      <c r="H248" s="12" t="s">
        <v>525</v>
      </c>
      <c r="I248" s="12"/>
      <c r="J248" s="12"/>
      <c r="K248" s="12"/>
      <c r="L248" s="13">
        <f>4642+66</f>
        <v>4708</v>
      </c>
      <c r="M248" s="12" t="s">
        <v>24</v>
      </c>
      <c r="N248" s="5">
        <f>SUM(B248:L249)</f>
        <v>59356</v>
      </c>
    </row>
    <row r="249" spans="1:14">
      <c r="A249" s="13"/>
      <c r="B249" s="13">
        <v>43648</v>
      </c>
      <c r="C249" s="13">
        <v>8249</v>
      </c>
      <c r="D249" s="13"/>
      <c r="E249" s="13"/>
      <c r="F249" s="13">
        <v>2538</v>
      </c>
      <c r="G249" s="13"/>
      <c r="H249" s="13">
        <v>213</v>
      </c>
      <c r="I249" s="13"/>
      <c r="J249" s="13"/>
      <c r="K249" s="12"/>
      <c r="L249" s="13"/>
      <c r="M249" s="13"/>
      <c r="N249" s="5"/>
    </row>
    <row r="250" spans="1:14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5"/>
    </row>
    <row r="251" spans="1:14">
      <c r="A251" s="33" t="s">
        <v>95</v>
      </c>
      <c r="B251" s="32" t="s">
        <v>420</v>
      </c>
      <c r="C251" s="32" t="s">
        <v>526</v>
      </c>
      <c r="D251" s="32" t="s">
        <v>526</v>
      </c>
      <c r="E251" s="32"/>
      <c r="F251" s="32" t="s">
        <v>420</v>
      </c>
      <c r="G251" s="32"/>
      <c r="H251" s="32"/>
      <c r="I251" s="32"/>
      <c r="J251" s="32"/>
      <c r="K251" s="32" t="s">
        <v>527</v>
      </c>
      <c r="L251" s="30">
        <f>3229+46</f>
        <v>3275</v>
      </c>
      <c r="M251" s="32" t="s">
        <v>421</v>
      </c>
      <c r="N251" s="5">
        <f>SUM(B251:L252)</f>
        <v>58435</v>
      </c>
    </row>
    <row r="252" spans="1:14">
      <c r="A252" s="30"/>
      <c r="B252" s="29">
        <v>38916</v>
      </c>
      <c r="C252" s="29">
        <v>13570</v>
      </c>
      <c r="D252" s="29">
        <v>634</v>
      </c>
      <c r="E252" s="29"/>
      <c r="F252" s="29">
        <v>1393</v>
      </c>
      <c r="G252" s="29"/>
      <c r="H252" s="29"/>
      <c r="I252" s="29"/>
      <c r="J252" s="29"/>
      <c r="K252" s="30">
        <v>647</v>
      </c>
      <c r="L252" s="30"/>
      <c r="M252" s="33"/>
      <c r="N252" s="5"/>
    </row>
    <row r="253" spans="1:14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5"/>
    </row>
    <row r="254" spans="1:14">
      <c r="A254" s="14" t="s">
        <v>98</v>
      </c>
      <c r="B254" s="12" t="s">
        <v>422</v>
      </c>
      <c r="C254" s="15"/>
      <c r="D254" s="12"/>
      <c r="E254" s="12" t="s">
        <v>423</v>
      </c>
      <c r="F254" s="12" t="s">
        <v>422</v>
      </c>
      <c r="G254" s="12"/>
      <c r="H254" s="12"/>
      <c r="I254" s="12"/>
      <c r="J254" s="12"/>
      <c r="K254" s="12"/>
      <c r="L254" s="13">
        <f>5856+17</f>
        <v>5873</v>
      </c>
      <c r="M254" s="12" t="s">
        <v>424</v>
      </c>
      <c r="N254" s="5">
        <f>SUM(B254:L255)</f>
        <v>34230</v>
      </c>
    </row>
    <row r="255" spans="1:14">
      <c r="A255" s="13"/>
      <c r="B255" s="15">
        <v>27327</v>
      </c>
      <c r="C255" s="15"/>
      <c r="D255" s="15"/>
      <c r="E255" s="13">
        <v>371</v>
      </c>
      <c r="F255" s="13">
        <v>659</v>
      </c>
      <c r="G255" s="13"/>
      <c r="H255" s="13"/>
      <c r="I255" s="13"/>
      <c r="J255" s="13"/>
      <c r="K255" s="14"/>
      <c r="L255" s="13"/>
      <c r="M255" s="14"/>
      <c r="N255" s="5"/>
    </row>
    <row r="256" spans="1:14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5"/>
    </row>
    <row r="257" spans="1:14">
      <c r="A257" s="33" t="s">
        <v>103</v>
      </c>
      <c r="B257" s="32" t="s">
        <v>203</v>
      </c>
      <c r="C257" s="32" t="s">
        <v>528</v>
      </c>
      <c r="D257" s="32"/>
      <c r="E257" s="32" t="s">
        <v>529</v>
      </c>
      <c r="F257" s="32" t="s">
        <v>203</v>
      </c>
      <c r="G257" s="32"/>
      <c r="H257" s="32"/>
      <c r="I257" s="32"/>
      <c r="J257" s="32"/>
      <c r="K257" s="32"/>
      <c r="L257" s="30">
        <f>5027+26</f>
        <v>5053</v>
      </c>
      <c r="M257" s="32" t="s">
        <v>202</v>
      </c>
      <c r="N257" s="5">
        <f>SUM(B257:L258)</f>
        <v>28506</v>
      </c>
    </row>
    <row r="258" spans="1:14">
      <c r="A258" s="30"/>
      <c r="B258" s="29">
        <v>21228</v>
      </c>
      <c r="C258" s="29">
        <v>1172</v>
      </c>
      <c r="D258" s="29"/>
      <c r="E258" s="29">
        <v>366</v>
      </c>
      <c r="F258" s="29">
        <v>687</v>
      </c>
      <c r="G258" s="29"/>
      <c r="H258" s="29"/>
      <c r="I258" s="29"/>
      <c r="J258" s="29"/>
      <c r="K258" s="33"/>
      <c r="L258" s="30"/>
      <c r="M258" s="30"/>
      <c r="N258" s="5"/>
    </row>
    <row r="259" spans="1:14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>
      <c r="A260" s="14" t="s">
        <v>109</v>
      </c>
      <c r="B260" s="12" t="s">
        <v>425</v>
      </c>
      <c r="C260" s="12"/>
      <c r="D260" s="12"/>
      <c r="E260" s="12" t="s">
        <v>348</v>
      </c>
      <c r="F260" s="12" t="s">
        <v>426</v>
      </c>
      <c r="G260" s="12"/>
      <c r="H260" s="12"/>
      <c r="I260" s="12"/>
      <c r="J260" s="12"/>
      <c r="K260" s="15"/>
      <c r="L260" s="13">
        <f>6967+14</f>
        <v>6981</v>
      </c>
      <c r="M260" s="12" t="s">
        <v>427</v>
      </c>
      <c r="N260" s="13">
        <f>SUM(B260:L261)</f>
        <v>37531</v>
      </c>
    </row>
    <row r="261" spans="1:14">
      <c r="A261" s="13"/>
      <c r="B261" s="15">
        <v>29376</v>
      </c>
      <c r="C261" s="15"/>
      <c r="D261" s="15"/>
      <c r="E261" s="15">
        <v>512</v>
      </c>
      <c r="F261" s="15">
        <v>662</v>
      </c>
      <c r="G261" s="15"/>
      <c r="H261" s="15"/>
      <c r="I261" s="15"/>
      <c r="J261" s="15"/>
      <c r="K261" s="13"/>
      <c r="L261" s="13"/>
      <c r="M261" s="13"/>
      <c r="N261" s="13"/>
    </row>
    <row r="262" spans="1:14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1:14">
      <c r="A263" s="33" t="s">
        <v>113</v>
      </c>
      <c r="B263" s="32" t="s">
        <v>349</v>
      </c>
      <c r="C263" s="32" t="s">
        <v>530</v>
      </c>
      <c r="D263" s="32"/>
      <c r="E263" s="32" t="s">
        <v>428</v>
      </c>
      <c r="F263" s="32"/>
      <c r="G263" s="32"/>
      <c r="H263" s="32"/>
      <c r="I263" s="32"/>
      <c r="J263" s="32"/>
      <c r="K263" s="29"/>
      <c r="L263" s="30">
        <f>6063+37</f>
        <v>6100</v>
      </c>
      <c r="M263" s="32" t="s">
        <v>351</v>
      </c>
      <c r="N263" s="13">
        <f>SUM(B263:L264)</f>
        <v>35403</v>
      </c>
    </row>
    <row r="264" spans="1:14">
      <c r="A264" s="30"/>
      <c r="B264" s="29">
        <v>24959</v>
      </c>
      <c r="C264" s="29">
        <v>3391</v>
      </c>
      <c r="D264" s="30"/>
      <c r="E264" s="29">
        <v>953</v>
      </c>
      <c r="F264" s="29"/>
      <c r="G264" s="29"/>
      <c r="H264" s="29"/>
      <c r="I264" s="29"/>
      <c r="J264" s="29"/>
      <c r="K264" s="30"/>
      <c r="L264" s="30"/>
      <c r="M264" s="30"/>
      <c r="N264" s="13"/>
    </row>
    <row r="265" spans="1:14">
      <c r="A265" s="30"/>
      <c r="B265" s="29"/>
      <c r="C265" s="29"/>
      <c r="D265" s="30"/>
      <c r="E265" s="29"/>
      <c r="F265" s="29"/>
      <c r="G265" s="29"/>
      <c r="H265" s="29"/>
      <c r="I265" s="29"/>
      <c r="J265" s="29"/>
      <c r="K265" s="30"/>
      <c r="L265" s="30"/>
      <c r="M265" s="30"/>
      <c r="N265" s="13"/>
    </row>
    <row r="266" spans="1:14" ht="17.25">
      <c r="A266" s="33" t="s">
        <v>2867</v>
      </c>
      <c r="B266" s="29" t="s">
        <v>679</v>
      </c>
      <c r="C266" s="29" t="s">
        <v>2868</v>
      </c>
      <c r="D266" s="29" t="s">
        <v>679</v>
      </c>
      <c r="E266" s="29" t="s">
        <v>2868</v>
      </c>
      <c r="F266" s="29"/>
      <c r="G266" s="29"/>
      <c r="H266" s="29" t="s">
        <v>2868</v>
      </c>
      <c r="I266" s="29"/>
      <c r="J266" s="29"/>
      <c r="K266" s="30"/>
      <c r="L266" s="30">
        <f>20+9</f>
        <v>29</v>
      </c>
      <c r="M266" s="29" t="s">
        <v>681</v>
      </c>
      <c r="N266" s="13">
        <f>SUM(B266:L267)</f>
        <v>2467</v>
      </c>
    </row>
    <row r="267" spans="1:14">
      <c r="A267" s="30"/>
      <c r="B267" s="29">
        <v>1917</v>
      </c>
      <c r="C267" s="29">
        <v>335</v>
      </c>
      <c r="D267" s="30">
        <v>60</v>
      </c>
      <c r="E267" s="29">
        <v>99</v>
      </c>
      <c r="F267" s="29"/>
      <c r="G267" s="29"/>
      <c r="H267" s="29">
        <v>27</v>
      </c>
      <c r="I267" s="29"/>
      <c r="J267" s="29"/>
      <c r="K267" s="30"/>
      <c r="L267" s="30"/>
      <c r="M267" s="30"/>
      <c r="N267" s="13"/>
    </row>
    <row r="268" spans="1:14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>
      <c r="A269" s="14" t="s">
        <v>124</v>
      </c>
      <c r="B269" s="12" t="s">
        <v>125</v>
      </c>
      <c r="C269" s="12"/>
      <c r="D269" s="12"/>
      <c r="E269" s="12" t="s">
        <v>429</v>
      </c>
      <c r="F269" s="12" t="s">
        <v>313</v>
      </c>
      <c r="G269" s="12" t="s">
        <v>313</v>
      </c>
      <c r="H269" s="12"/>
      <c r="I269" s="12"/>
      <c r="J269" s="12"/>
      <c r="K269" s="12"/>
      <c r="L269" s="13">
        <f>8590+84</f>
        <v>8674</v>
      </c>
      <c r="M269" s="12" t="s">
        <v>126</v>
      </c>
      <c r="N269" s="13">
        <f>SUM(B269:L270)</f>
        <v>45115</v>
      </c>
    </row>
    <row r="270" spans="1:14">
      <c r="A270" s="13"/>
      <c r="B270" s="15">
        <v>31326</v>
      </c>
      <c r="C270" s="15"/>
      <c r="D270" s="15"/>
      <c r="E270" s="15">
        <v>3010</v>
      </c>
      <c r="F270" s="15">
        <v>1586</v>
      </c>
      <c r="G270" s="15">
        <v>519</v>
      </c>
      <c r="H270" s="15"/>
      <c r="I270" s="15"/>
      <c r="J270" s="15"/>
      <c r="K270" s="15"/>
      <c r="L270" s="13"/>
      <c r="M270" s="13"/>
      <c r="N270" s="13"/>
    </row>
    <row r="271" spans="1:14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>
      <c r="A272" s="33" t="s">
        <v>130</v>
      </c>
      <c r="B272" s="32" t="s">
        <v>246</v>
      </c>
      <c r="C272" s="32" t="s">
        <v>270</v>
      </c>
      <c r="D272" s="29"/>
      <c r="E272" s="32" t="s">
        <v>352</v>
      </c>
      <c r="F272" s="32"/>
      <c r="G272" s="32"/>
      <c r="H272" s="32"/>
      <c r="I272" s="32"/>
      <c r="J272" s="32"/>
      <c r="K272" s="29"/>
      <c r="L272" s="30">
        <f>7465+30</f>
        <v>7495</v>
      </c>
      <c r="M272" s="32" t="s">
        <v>247</v>
      </c>
      <c r="N272" s="13">
        <f>SUM(B272:L273)</f>
        <v>45872</v>
      </c>
    </row>
    <row r="273" spans="1:14">
      <c r="A273" s="30"/>
      <c r="B273" s="29">
        <v>31091</v>
      </c>
      <c r="C273" s="29">
        <v>5737</v>
      </c>
      <c r="D273" s="30"/>
      <c r="E273" s="29">
        <v>1549</v>
      </c>
      <c r="F273" s="29"/>
      <c r="G273" s="29"/>
      <c r="H273" s="29"/>
      <c r="I273" s="29"/>
      <c r="J273" s="29"/>
      <c r="K273" s="29"/>
      <c r="L273" s="30"/>
      <c r="M273" s="30"/>
      <c r="N273" s="13"/>
    </row>
    <row r="274" spans="1:14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>
      <c r="A275" s="14" t="s">
        <v>136</v>
      </c>
      <c r="B275" s="12" t="s">
        <v>204</v>
      </c>
      <c r="C275" s="12"/>
      <c r="D275" s="15"/>
      <c r="E275" s="12"/>
      <c r="F275" s="12"/>
      <c r="G275" s="12"/>
      <c r="H275" s="12"/>
      <c r="I275" s="12"/>
      <c r="J275" s="12"/>
      <c r="K275" s="15"/>
      <c r="L275" s="13">
        <f>6844+39</f>
        <v>6883</v>
      </c>
      <c r="M275" s="12" t="s">
        <v>205</v>
      </c>
      <c r="N275" s="13">
        <f>SUM(B275:L276)</f>
        <v>39841</v>
      </c>
    </row>
    <row r="276" spans="1:14">
      <c r="A276" s="13"/>
      <c r="B276" s="15">
        <v>32958</v>
      </c>
      <c r="C276" s="15"/>
      <c r="D276" s="15"/>
      <c r="E276" s="15"/>
      <c r="F276" s="15"/>
      <c r="G276" s="15"/>
      <c r="H276" s="15"/>
      <c r="I276" s="15"/>
      <c r="J276" s="15"/>
      <c r="K276" s="15"/>
      <c r="L276" s="13"/>
      <c r="M276" s="13"/>
      <c r="N276" s="13"/>
    </row>
    <row r="277" spans="1:14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1:14">
      <c r="A278" s="33" t="s">
        <v>140</v>
      </c>
      <c r="B278" s="29" t="s">
        <v>229</v>
      </c>
      <c r="C278" s="32" t="s">
        <v>531</v>
      </c>
      <c r="D278" s="29"/>
      <c r="E278" s="32"/>
      <c r="F278" s="32"/>
      <c r="G278" s="32"/>
      <c r="H278" s="32"/>
      <c r="I278" s="32"/>
      <c r="J278" s="32"/>
      <c r="K278" s="29"/>
      <c r="L278" s="30">
        <f>5317+36</f>
        <v>5353</v>
      </c>
      <c r="M278" s="32" t="s">
        <v>88</v>
      </c>
      <c r="N278" s="13">
        <f>SUM(B278:L279)</f>
        <v>33611</v>
      </c>
    </row>
    <row r="279" spans="1:14">
      <c r="A279" s="30"/>
      <c r="B279" s="29">
        <v>26652</v>
      </c>
      <c r="C279" s="29">
        <v>1606</v>
      </c>
      <c r="D279" s="30"/>
      <c r="E279" s="30"/>
      <c r="F279" s="30"/>
      <c r="G279" s="30"/>
      <c r="H279" s="30"/>
      <c r="I279" s="30"/>
      <c r="J279" s="30"/>
      <c r="K279" s="29"/>
      <c r="L279" s="30"/>
      <c r="M279" s="30"/>
      <c r="N279" s="13"/>
    </row>
    <row r="280" spans="1:14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>
      <c r="A281" s="14" t="s">
        <v>144</v>
      </c>
      <c r="B281" s="15" t="s">
        <v>281</v>
      </c>
      <c r="C281" s="12" t="s">
        <v>353</v>
      </c>
      <c r="D281" s="15"/>
      <c r="E281" s="12" t="s">
        <v>430</v>
      </c>
      <c r="F281" s="12"/>
      <c r="G281" s="12"/>
      <c r="H281" s="12"/>
      <c r="I281" s="12" t="s">
        <v>596</v>
      </c>
      <c r="J281" s="12"/>
      <c r="K281" s="15"/>
      <c r="L281" s="13">
        <f>4637+22</f>
        <v>4659</v>
      </c>
      <c r="M281" s="12" t="s">
        <v>314</v>
      </c>
      <c r="N281" s="13">
        <f>SUM(B281:L282)</f>
        <v>32331</v>
      </c>
    </row>
    <row r="282" spans="1:14">
      <c r="A282" s="13"/>
      <c r="B282" s="15">
        <v>25812</v>
      </c>
      <c r="C282" s="13">
        <v>1033</v>
      </c>
      <c r="D282" s="15"/>
      <c r="E282" s="13">
        <v>408</v>
      </c>
      <c r="F282" s="13"/>
      <c r="G282" s="13"/>
      <c r="H282" s="13"/>
      <c r="I282" s="13">
        <v>419</v>
      </c>
      <c r="J282" s="13"/>
      <c r="K282" s="13"/>
      <c r="L282" s="13"/>
      <c r="M282" s="13"/>
      <c r="N282" s="13"/>
    </row>
    <row r="283" spans="1:14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>
      <c r="A284" s="33" t="s">
        <v>148</v>
      </c>
      <c r="B284" s="29" t="s">
        <v>396</v>
      </c>
      <c r="C284" s="29"/>
      <c r="D284" s="29"/>
      <c r="E284" s="29" t="s">
        <v>431</v>
      </c>
      <c r="F284" s="29" t="s">
        <v>396</v>
      </c>
      <c r="G284" s="29"/>
      <c r="H284" s="29"/>
      <c r="I284" s="29"/>
      <c r="J284" s="29"/>
      <c r="K284" s="29"/>
      <c r="L284" s="29">
        <f>7481+16</f>
        <v>7497</v>
      </c>
      <c r="M284" s="29" t="s">
        <v>432</v>
      </c>
      <c r="N284" s="13">
        <f>SUM(B284:L285)</f>
        <v>31223</v>
      </c>
    </row>
    <row r="285" spans="1:14">
      <c r="A285" s="30"/>
      <c r="B285" s="30">
        <v>22597</v>
      </c>
      <c r="C285" s="30"/>
      <c r="D285" s="30"/>
      <c r="E285" s="30">
        <v>530</v>
      </c>
      <c r="F285" s="30">
        <v>599</v>
      </c>
      <c r="G285" s="30"/>
      <c r="H285" s="30"/>
      <c r="I285" s="30"/>
      <c r="J285" s="30"/>
      <c r="K285" s="30"/>
      <c r="L285" s="30"/>
      <c r="M285" s="30"/>
      <c r="N285" s="13"/>
    </row>
    <row r="286" spans="1:14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>
      <c r="A287" s="14" t="s">
        <v>153</v>
      </c>
      <c r="B287" s="15" t="s">
        <v>354</v>
      </c>
      <c r="C287" s="12"/>
      <c r="D287" s="12"/>
      <c r="E287" s="15" t="s">
        <v>355</v>
      </c>
      <c r="F287" s="15"/>
      <c r="G287" s="15"/>
      <c r="H287" s="15"/>
      <c r="I287" s="15"/>
      <c r="J287" s="15"/>
      <c r="K287" s="15"/>
      <c r="L287" s="15">
        <f>6510+33</f>
        <v>6543</v>
      </c>
      <c r="M287" s="12" t="s">
        <v>356</v>
      </c>
      <c r="N287" s="13">
        <f>SUM(B287:L288)</f>
        <v>37889</v>
      </c>
    </row>
    <row r="288" spans="1:14">
      <c r="A288" s="13"/>
      <c r="B288" s="15">
        <v>30128</v>
      </c>
      <c r="C288" s="15"/>
      <c r="D288" s="15"/>
      <c r="E288" s="13">
        <v>1218</v>
      </c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1:14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>
      <c r="A290" s="33" t="s">
        <v>161</v>
      </c>
      <c r="B290" s="29" t="s">
        <v>206</v>
      </c>
      <c r="C290" s="32"/>
      <c r="D290" s="32" t="s">
        <v>206</v>
      </c>
      <c r="E290" s="29" t="s">
        <v>532</v>
      </c>
      <c r="F290" s="29" t="s">
        <v>206</v>
      </c>
      <c r="G290" s="29" t="s">
        <v>206</v>
      </c>
      <c r="H290" s="29"/>
      <c r="I290" s="29"/>
      <c r="J290" s="29"/>
      <c r="K290" s="29"/>
      <c r="L290" s="29">
        <f>15642+74</f>
        <v>15716</v>
      </c>
      <c r="M290" s="32" t="s">
        <v>207</v>
      </c>
      <c r="N290" s="13">
        <f>SUM(B290:L291)</f>
        <v>65886</v>
      </c>
    </row>
    <row r="291" spans="1:14">
      <c r="A291" s="30"/>
      <c r="B291" s="29">
        <v>39487</v>
      </c>
      <c r="C291" s="29"/>
      <c r="D291" s="29">
        <v>971</v>
      </c>
      <c r="E291" s="30">
        <v>7643</v>
      </c>
      <c r="F291" s="30">
        <v>1514</v>
      </c>
      <c r="G291" s="30">
        <v>555</v>
      </c>
      <c r="H291" s="30"/>
      <c r="I291" s="30"/>
      <c r="J291" s="30"/>
      <c r="K291" s="30"/>
      <c r="L291" s="30"/>
      <c r="M291" s="30"/>
      <c r="N291" s="13"/>
    </row>
    <row r="292" spans="1:14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>
      <c r="A293" s="14" t="s">
        <v>167</v>
      </c>
      <c r="B293" s="15" t="s">
        <v>189</v>
      </c>
      <c r="C293" s="15"/>
      <c r="D293" s="15" t="s">
        <v>189</v>
      </c>
      <c r="E293" s="15"/>
      <c r="F293" s="15" t="s">
        <v>189</v>
      </c>
      <c r="G293" s="15"/>
      <c r="H293" s="15"/>
      <c r="I293" s="15"/>
      <c r="J293" s="15"/>
      <c r="K293" s="15"/>
      <c r="L293" s="15">
        <f>10836+84</f>
        <v>10920</v>
      </c>
      <c r="M293" s="12" t="s">
        <v>433</v>
      </c>
      <c r="N293" s="13">
        <f>SUM(B293:L294)</f>
        <v>45535</v>
      </c>
    </row>
    <row r="294" spans="1:14">
      <c r="A294" s="13"/>
      <c r="B294" s="15">
        <v>32711</v>
      </c>
      <c r="C294" s="15"/>
      <c r="D294" s="13">
        <v>693</v>
      </c>
      <c r="E294" s="13"/>
      <c r="F294" s="13">
        <v>1211</v>
      </c>
      <c r="G294" s="13"/>
      <c r="H294" s="13"/>
      <c r="I294" s="13"/>
      <c r="J294" s="13"/>
      <c r="K294" s="13"/>
      <c r="L294" s="13"/>
      <c r="M294" s="13"/>
      <c r="N294" s="13"/>
    </row>
    <row r="295" spans="1:14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>
      <c r="A296" s="33" t="s">
        <v>172</v>
      </c>
      <c r="B296" s="29" t="s">
        <v>357</v>
      </c>
      <c r="C296" s="32"/>
      <c r="D296" s="29" t="s">
        <v>357</v>
      </c>
      <c r="E296" s="29"/>
      <c r="F296" s="29" t="s">
        <v>357</v>
      </c>
      <c r="G296" s="29"/>
      <c r="H296" s="29"/>
      <c r="I296" s="29"/>
      <c r="J296" s="29"/>
      <c r="K296" s="29"/>
      <c r="L296" s="30">
        <f>18876+170</f>
        <v>19046</v>
      </c>
      <c r="M296" s="32" t="s">
        <v>358</v>
      </c>
      <c r="N296" s="13">
        <f>SUM(B296:L297)</f>
        <v>51254</v>
      </c>
    </row>
    <row r="297" spans="1:14">
      <c r="A297" s="30"/>
      <c r="B297" s="29">
        <v>28737</v>
      </c>
      <c r="C297" s="29"/>
      <c r="D297" s="30">
        <v>1417</v>
      </c>
      <c r="E297" s="30"/>
      <c r="F297" s="30">
        <v>2054</v>
      </c>
      <c r="G297" s="30"/>
      <c r="H297" s="30"/>
      <c r="I297" s="30"/>
      <c r="J297" s="30"/>
      <c r="K297" s="30"/>
      <c r="L297" s="30"/>
      <c r="M297" s="30"/>
      <c r="N297" s="13"/>
    </row>
    <row r="298" spans="1:14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>
      <c r="A299" s="14" t="s">
        <v>177</v>
      </c>
      <c r="B299" s="15" t="s">
        <v>359</v>
      </c>
      <c r="C299" s="12"/>
      <c r="D299" s="12" t="s">
        <v>359</v>
      </c>
      <c r="E299" s="12"/>
      <c r="F299" s="12" t="s">
        <v>359</v>
      </c>
      <c r="G299" s="12" t="s">
        <v>359</v>
      </c>
      <c r="H299" s="12"/>
      <c r="I299" s="12"/>
      <c r="J299" s="12"/>
      <c r="K299" s="15"/>
      <c r="L299" s="15">
        <f>17748+166</f>
        <v>17914</v>
      </c>
      <c r="M299" s="12" t="s">
        <v>360</v>
      </c>
      <c r="N299" s="13">
        <f>SUM(B299:L300)</f>
        <v>52663</v>
      </c>
    </row>
    <row r="300" spans="1:14">
      <c r="A300" s="13"/>
      <c r="B300" s="13">
        <v>31576</v>
      </c>
      <c r="C300" s="14"/>
      <c r="D300" s="13">
        <v>1151</v>
      </c>
      <c r="E300" s="13"/>
      <c r="F300" s="13">
        <v>1509</v>
      </c>
      <c r="G300" s="13">
        <v>513</v>
      </c>
      <c r="H300" s="13"/>
      <c r="I300" s="13"/>
      <c r="J300" s="13"/>
      <c r="K300" s="13"/>
      <c r="L300" s="13"/>
      <c r="M300" s="13"/>
      <c r="N300" s="13"/>
    </row>
    <row r="301" spans="1:14">
      <c r="A301" s="13"/>
      <c r="B301" s="13"/>
      <c r="C301" s="14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1:14">
      <c r="A302" s="33" t="s">
        <v>6</v>
      </c>
      <c r="B302" s="29" t="s">
        <v>315</v>
      </c>
      <c r="C302" s="32"/>
      <c r="D302" s="29" t="s">
        <v>315</v>
      </c>
      <c r="E302" s="29"/>
      <c r="F302" s="29" t="s">
        <v>315</v>
      </c>
      <c r="G302" s="29"/>
      <c r="H302" s="29"/>
      <c r="I302" s="29"/>
      <c r="J302" s="29"/>
      <c r="K302" s="29"/>
      <c r="L302" s="29">
        <f>21254+250</f>
        <v>21504</v>
      </c>
      <c r="M302" s="32" t="s">
        <v>316</v>
      </c>
      <c r="N302" s="13">
        <f>SUM(B302:L303)</f>
        <v>67239</v>
      </c>
    </row>
    <row r="303" spans="1:14">
      <c r="A303" s="30"/>
      <c r="B303" s="30">
        <v>41421</v>
      </c>
      <c r="C303" s="30"/>
      <c r="D303" s="30">
        <v>1598</v>
      </c>
      <c r="E303" s="30"/>
      <c r="F303" s="30">
        <v>2716</v>
      </c>
      <c r="G303" s="30"/>
      <c r="H303" s="30"/>
      <c r="I303" s="30"/>
      <c r="J303" s="30"/>
      <c r="K303" s="30"/>
      <c r="L303" s="30"/>
      <c r="M303" s="30"/>
      <c r="N303" s="13"/>
    </row>
    <row r="304" spans="1:14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14">
      <c r="A305" s="14" t="s">
        <v>13</v>
      </c>
      <c r="B305" s="15" t="s">
        <v>361</v>
      </c>
      <c r="C305" s="15"/>
      <c r="D305" s="15" t="s">
        <v>361</v>
      </c>
      <c r="E305" s="15"/>
      <c r="F305" s="15" t="s">
        <v>361</v>
      </c>
      <c r="G305" s="15" t="s">
        <v>361</v>
      </c>
      <c r="H305" s="15"/>
      <c r="I305" s="15"/>
      <c r="J305" s="15"/>
      <c r="K305" s="15"/>
      <c r="L305" s="15">
        <f>23349+226</f>
        <v>23575</v>
      </c>
      <c r="M305" s="12" t="s">
        <v>362</v>
      </c>
      <c r="N305" s="13">
        <f>SUM(B305:L306)</f>
        <v>65214</v>
      </c>
    </row>
    <row r="306" spans="1:14">
      <c r="A306" s="13"/>
      <c r="B306" s="13">
        <v>37640</v>
      </c>
      <c r="C306" s="13"/>
      <c r="D306" s="13">
        <v>1617</v>
      </c>
      <c r="E306" s="13"/>
      <c r="F306" s="13">
        <v>1792</v>
      </c>
      <c r="G306" s="13">
        <v>590</v>
      </c>
      <c r="H306" s="13"/>
      <c r="I306" s="13"/>
      <c r="J306" s="13"/>
      <c r="K306" s="13"/>
      <c r="L306" s="13"/>
      <c r="M306" s="13"/>
      <c r="N306" s="13"/>
    </row>
    <row r="307" spans="1:14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1:14">
      <c r="A308" s="33" t="s">
        <v>22</v>
      </c>
      <c r="B308" s="29" t="s">
        <v>533</v>
      </c>
      <c r="C308" s="29" t="s">
        <v>534</v>
      </c>
      <c r="D308" s="29" t="s">
        <v>534</v>
      </c>
      <c r="E308" s="29" t="s">
        <v>534</v>
      </c>
      <c r="F308" s="29" t="s">
        <v>533</v>
      </c>
      <c r="G308" s="29"/>
      <c r="H308" s="29" t="s">
        <v>534</v>
      </c>
      <c r="I308" s="29"/>
      <c r="J308" s="29"/>
      <c r="K308" s="29"/>
      <c r="L308" s="30">
        <f>7671+23</f>
        <v>7694</v>
      </c>
      <c r="M308" s="32" t="s">
        <v>535</v>
      </c>
      <c r="N308" s="13">
        <f>SUM(B308:L309)</f>
        <v>67551</v>
      </c>
    </row>
    <row r="309" spans="1:14">
      <c r="A309" s="30"/>
      <c r="B309" s="30">
        <v>21717</v>
      </c>
      <c r="C309" s="30">
        <v>31048</v>
      </c>
      <c r="D309" s="30">
        <v>1310</v>
      </c>
      <c r="E309" s="30">
        <v>4251</v>
      </c>
      <c r="F309" s="30">
        <v>1380</v>
      </c>
      <c r="G309" s="30"/>
      <c r="H309" s="30">
        <v>151</v>
      </c>
      <c r="I309" s="30"/>
      <c r="J309" s="30"/>
      <c r="K309" s="30"/>
      <c r="L309" s="30"/>
      <c r="M309" s="30"/>
      <c r="N309" s="13"/>
    </row>
    <row r="310" spans="1:14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4">
      <c r="A311" s="14" t="s">
        <v>28</v>
      </c>
      <c r="B311" s="15" t="s">
        <v>230</v>
      </c>
      <c r="C311" s="12" t="s">
        <v>536</v>
      </c>
      <c r="D311" s="12" t="s">
        <v>230</v>
      </c>
      <c r="E311" s="15"/>
      <c r="F311" s="15" t="s">
        <v>230</v>
      </c>
      <c r="G311" s="15" t="s">
        <v>230</v>
      </c>
      <c r="H311" s="15" t="s">
        <v>536</v>
      </c>
      <c r="I311" s="15"/>
      <c r="J311" s="15"/>
      <c r="K311" s="15"/>
      <c r="L311" s="13">
        <f>5783+30</f>
        <v>5813</v>
      </c>
      <c r="M311" s="12" t="s">
        <v>173</v>
      </c>
      <c r="N311" s="13">
        <f>SUM(B311:L312)</f>
        <v>57578</v>
      </c>
    </row>
    <row r="312" spans="1:14">
      <c r="A312" s="13"/>
      <c r="B312" s="13">
        <v>32062</v>
      </c>
      <c r="C312" s="13">
        <v>16055</v>
      </c>
      <c r="D312" s="13">
        <v>1029</v>
      </c>
      <c r="E312" s="13"/>
      <c r="F312" s="13">
        <v>1829</v>
      </c>
      <c r="G312" s="13">
        <v>457</v>
      </c>
      <c r="H312" s="13">
        <v>333</v>
      </c>
      <c r="I312" s="13"/>
      <c r="J312" s="13"/>
      <c r="K312" s="13"/>
      <c r="L312" s="13"/>
      <c r="M312" s="13"/>
      <c r="N312" s="13"/>
    </row>
    <row r="313" spans="1:14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1:14">
      <c r="A314" s="33" t="s">
        <v>32</v>
      </c>
      <c r="B314" s="29" t="s">
        <v>248</v>
      </c>
      <c r="C314" s="32"/>
      <c r="D314" s="29"/>
      <c r="E314" s="32"/>
      <c r="F314" s="32" t="s">
        <v>248</v>
      </c>
      <c r="G314" s="32" t="s">
        <v>248</v>
      </c>
      <c r="H314" s="32" t="s">
        <v>248</v>
      </c>
      <c r="I314" s="32"/>
      <c r="J314" s="32"/>
      <c r="K314" s="29"/>
      <c r="L314" s="30">
        <f>21478+2+211</f>
        <v>21691</v>
      </c>
      <c r="M314" s="32" t="s">
        <v>283</v>
      </c>
      <c r="N314" s="13">
        <f>SUM(B314:L315)</f>
        <v>63801</v>
      </c>
    </row>
    <row r="315" spans="1:14">
      <c r="A315" s="30"/>
      <c r="B315" s="30">
        <v>35331</v>
      </c>
      <c r="C315" s="30"/>
      <c r="D315" s="30"/>
      <c r="E315" s="30"/>
      <c r="F315" s="30">
        <v>3569</v>
      </c>
      <c r="G315" s="30">
        <v>859</v>
      </c>
      <c r="H315" s="30">
        <v>2351</v>
      </c>
      <c r="I315" s="30"/>
      <c r="J315" s="30"/>
      <c r="K315" s="30"/>
      <c r="L315" s="30"/>
      <c r="M315" s="30" t="s">
        <v>33</v>
      </c>
      <c r="N315" s="13"/>
    </row>
    <row r="316" spans="1:14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1:14">
      <c r="A317" s="14" t="s">
        <v>39</v>
      </c>
      <c r="B317" s="15" t="s">
        <v>267</v>
      </c>
      <c r="C317" s="12" t="s">
        <v>537</v>
      </c>
      <c r="D317" s="12"/>
      <c r="E317" s="12" t="s">
        <v>537</v>
      </c>
      <c r="F317" s="15" t="s">
        <v>538</v>
      </c>
      <c r="G317" s="15"/>
      <c r="H317" s="15" t="s">
        <v>537</v>
      </c>
      <c r="I317" s="15" t="s">
        <v>267</v>
      </c>
      <c r="J317" s="15"/>
      <c r="K317" s="15"/>
      <c r="L317" s="13">
        <f>6779+90+63</f>
        <v>6932</v>
      </c>
      <c r="M317" s="12" t="s">
        <v>268</v>
      </c>
      <c r="N317" s="13">
        <f>SUM(B317:L318)</f>
        <v>55472</v>
      </c>
    </row>
    <row r="318" spans="1:14">
      <c r="A318" s="13"/>
      <c r="B318" s="13">
        <v>27509</v>
      </c>
      <c r="C318" s="13">
        <v>15209</v>
      </c>
      <c r="D318" s="13"/>
      <c r="E318" s="13">
        <v>1941</v>
      </c>
      <c r="F318" s="13">
        <v>1088</v>
      </c>
      <c r="G318" s="13"/>
      <c r="H318" s="13">
        <v>520</v>
      </c>
      <c r="I318" s="13">
        <v>2273</v>
      </c>
      <c r="J318" s="13"/>
      <c r="K318" s="13"/>
      <c r="L318" s="13"/>
      <c r="M318" s="13"/>
      <c r="N318" s="13"/>
    </row>
    <row r="319" spans="1:14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1:14">
      <c r="A320" s="33" t="s">
        <v>48</v>
      </c>
      <c r="B320" s="29" t="s">
        <v>539</v>
      </c>
      <c r="C320" s="32" t="s">
        <v>434</v>
      </c>
      <c r="D320" s="29" t="s">
        <v>539</v>
      </c>
      <c r="E320" s="29" t="s">
        <v>539</v>
      </c>
      <c r="F320" s="29"/>
      <c r="G320" s="29" t="s">
        <v>539</v>
      </c>
      <c r="H320" s="29" t="s">
        <v>539</v>
      </c>
      <c r="I320" s="29" t="s">
        <v>539</v>
      </c>
      <c r="J320" s="29"/>
      <c r="K320" s="29" t="s">
        <v>540</v>
      </c>
      <c r="L320" s="30">
        <f>6636+13+379</f>
        <v>7028</v>
      </c>
      <c r="M320" s="32" t="s">
        <v>435</v>
      </c>
      <c r="N320" s="13">
        <f>SUM(B320:L321)</f>
        <v>56016</v>
      </c>
    </row>
    <row r="321" spans="1:14">
      <c r="A321" s="30"/>
      <c r="B321" s="30">
        <v>12724</v>
      </c>
      <c r="C321" s="30">
        <v>28058</v>
      </c>
      <c r="D321" s="30">
        <v>4785</v>
      </c>
      <c r="E321" s="30">
        <v>1775</v>
      </c>
      <c r="F321" s="30"/>
      <c r="G321" s="30">
        <v>206</v>
      </c>
      <c r="H321" s="30">
        <v>101</v>
      </c>
      <c r="I321" s="30">
        <v>292</v>
      </c>
      <c r="J321" s="30"/>
      <c r="K321" s="29">
        <v>1047</v>
      </c>
      <c r="L321" s="30"/>
      <c r="M321" s="30"/>
      <c r="N321" s="13"/>
    </row>
    <row r="322" spans="1:14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1:14">
      <c r="A323" s="14" t="s">
        <v>56</v>
      </c>
      <c r="B323" s="15" t="s">
        <v>363</v>
      </c>
      <c r="C323" s="12" t="s">
        <v>541</v>
      </c>
      <c r="D323" s="12" t="s">
        <v>541</v>
      </c>
      <c r="E323" s="12" t="s">
        <v>541</v>
      </c>
      <c r="F323" s="12" t="s">
        <v>363</v>
      </c>
      <c r="G323" s="12" t="s">
        <v>363</v>
      </c>
      <c r="H323" s="12" t="s">
        <v>541</v>
      </c>
      <c r="I323" s="12"/>
      <c r="J323" s="12"/>
      <c r="K323" s="15"/>
      <c r="L323" s="13">
        <f>5410+10+16</f>
        <v>5436</v>
      </c>
      <c r="M323" s="12" t="s">
        <v>364</v>
      </c>
      <c r="N323" s="13">
        <f>SUM(B323:L324)</f>
        <v>61567</v>
      </c>
    </row>
    <row r="324" spans="1:14">
      <c r="A324" s="13"/>
      <c r="B324" s="13">
        <v>26971</v>
      </c>
      <c r="C324" s="13">
        <v>22178</v>
      </c>
      <c r="D324" s="13">
        <v>910</v>
      </c>
      <c r="E324" s="13">
        <v>3284</v>
      </c>
      <c r="F324" s="13">
        <v>2082</v>
      </c>
      <c r="G324" s="13">
        <v>537</v>
      </c>
      <c r="H324" s="13">
        <v>169</v>
      </c>
      <c r="I324" s="13"/>
      <c r="J324" s="13"/>
      <c r="K324" s="13"/>
      <c r="L324" s="13"/>
      <c r="M324" s="13"/>
      <c r="N324" s="13"/>
    </row>
    <row r="325" spans="1:14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1:14">
      <c r="A326" s="33" t="s">
        <v>330</v>
      </c>
      <c r="B326" s="29" t="s">
        <v>241</v>
      </c>
      <c r="C326" s="32"/>
      <c r="D326" s="32" t="s">
        <v>241</v>
      </c>
      <c r="E326" s="29"/>
      <c r="F326" s="29" t="s">
        <v>241</v>
      </c>
      <c r="G326" s="29"/>
      <c r="H326" s="29"/>
      <c r="I326" s="29"/>
      <c r="J326" s="29"/>
      <c r="K326" s="29"/>
      <c r="L326" s="30">
        <f>17871+24+114</f>
        <v>18009</v>
      </c>
      <c r="M326" s="32" t="s">
        <v>242</v>
      </c>
      <c r="N326" s="13">
        <f>SUM(B326:L327)</f>
        <v>51151</v>
      </c>
    </row>
    <row r="327" spans="1:14">
      <c r="A327" s="30"/>
      <c r="B327" s="30">
        <v>27261</v>
      </c>
      <c r="C327" s="30"/>
      <c r="D327" s="30">
        <v>2917</v>
      </c>
      <c r="E327" s="30"/>
      <c r="F327" s="30">
        <v>2964</v>
      </c>
      <c r="G327" s="30"/>
      <c r="H327" s="30"/>
      <c r="I327" s="30"/>
      <c r="J327" s="30"/>
      <c r="K327" s="30"/>
      <c r="L327" s="30"/>
      <c r="M327" s="30"/>
      <c r="N327" s="13"/>
    </row>
    <row r="328" spans="1:14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1:14">
      <c r="A329" s="14" t="s">
        <v>63</v>
      </c>
      <c r="B329" s="15" t="s">
        <v>542</v>
      </c>
      <c r="C329" s="15" t="s">
        <v>231</v>
      </c>
      <c r="D329" s="15" t="s">
        <v>231</v>
      </c>
      <c r="E329" s="15" t="s">
        <v>543</v>
      </c>
      <c r="F329" s="15" t="s">
        <v>542</v>
      </c>
      <c r="G329" s="15"/>
      <c r="H329" s="15" t="s">
        <v>543</v>
      </c>
      <c r="I329" s="15"/>
      <c r="J329" s="15"/>
      <c r="K329" s="15"/>
      <c r="L329" s="13">
        <f>7393+18+28</f>
        <v>7439</v>
      </c>
      <c r="M329" s="12" t="s">
        <v>544</v>
      </c>
      <c r="N329" s="13">
        <f>SUM(B329:L330)</f>
        <v>57831</v>
      </c>
    </row>
    <row r="330" spans="1:14">
      <c r="A330" s="13"/>
      <c r="B330" s="13">
        <v>16047</v>
      </c>
      <c r="C330" s="13">
        <v>25659</v>
      </c>
      <c r="D330" s="13">
        <v>1746</v>
      </c>
      <c r="E330" s="13">
        <v>4953</v>
      </c>
      <c r="F330" s="13">
        <v>1618</v>
      </c>
      <c r="G330" s="13"/>
      <c r="H330" s="13">
        <v>369</v>
      </c>
      <c r="I330" s="13"/>
      <c r="J330" s="13"/>
      <c r="K330" s="13"/>
      <c r="L330" s="13"/>
      <c r="M330" s="13"/>
      <c r="N330" s="13"/>
    </row>
    <row r="331" spans="1:14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1:14">
      <c r="A332" s="33" t="s">
        <v>70</v>
      </c>
      <c r="B332" s="29"/>
      <c r="C332" s="32" t="s">
        <v>270</v>
      </c>
      <c r="D332" s="32" t="s">
        <v>270</v>
      </c>
      <c r="E332" s="32" t="s">
        <v>270</v>
      </c>
      <c r="F332" s="32"/>
      <c r="G332" s="32"/>
      <c r="H332" s="32" t="s">
        <v>270</v>
      </c>
      <c r="I332" s="32"/>
      <c r="J332" s="32"/>
      <c r="K332" s="29"/>
      <c r="L332" s="30">
        <f>15072+1+280</f>
        <v>15353</v>
      </c>
      <c r="M332" s="32" t="s">
        <v>271</v>
      </c>
      <c r="N332" s="13">
        <f>SUM(B332:L333)</f>
        <v>60910</v>
      </c>
    </row>
    <row r="333" spans="1:14">
      <c r="A333" s="30"/>
      <c r="B333" s="30"/>
      <c r="C333" s="30">
        <v>34775</v>
      </c>
      <c r="D333" s="30">
        <v>4771</v>
      </c>
      <c r="E333" s="30">
        <v>5519</v>
      </c>
      <c r="F333" s="30"/>
      <c r="G333" s="30"/>
      <c r="H333" s="30">
        <v>492</v>
      </c>
      <c r="I333" s="30"/>
      <c r="J333" s="30"/>
      <c r="K333" s="30"/>
      <c r="L333" s="30"/>
      <c r="M333" s="30"/>
      <c r="N333" s="13"/>
    </row>
    <row r="334" spans="1:14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13"/>
    </row>
    <row r="335" spans="1:14" ht="17.25">
      <c r="A335" s="33" t="s">
        <v>2869</v>
      </c>
      <c r="B335" s="29" t="s">
        <v>704</v>
      </c>
      <c r="C335" s="29" t="s">
        <v>705</v>
      </c>
      <c r="D335" s="29" t="s">
        <v>705</v>
      </c>
      <c r="E335" s="29" t="s">
        <v>705</v>
      </c>
      <c r="F335" s="29" t="s">
        <v>704</v>
      </c>
      <c r="G335" s="29" t="s">
        <v>704</v>
      </c>
      <c r="H335" s="29" t="s">
        <v>705</v>
      </c>
      <c r="I335" s="29"/>
      <c r="J335" s="29"/>
      <c r="K335" s="29" t="s">
        <v>2870</v>
      </c>
      <c r="L335" s="29">
        <f>12+13+11</f>
        <v>36</v>
      </c>
      <c r="M335" s="29" t="s">
        <v>706</v>
      </c>
      <c r="N335" s="13">
        <f>SUM(B335:L336)</f>
        <v>20103</v>
      </c>
    </row>
    <row r="336" spans="1:14">
      <c r="A336" s="30"/>
      <c r="B336" s="30">
        <v>7772</v>
      </c>
      <c r="C336" s="30">
        <v>6913</v>
      </c>
      <c r="D336" s="30">
        <v>487</v>
      </c>
      <c r="E336" s="30">
        <v>1665</v>
      </c>
      <c r="F336" s="30">
        <v>872</v>
      </c>
      <c r="G336" s="30">
        <v>353</v>
      </c>
      <c r="H336" s="30">
        <v>91</v>
      </c>
      <c r="I336" s="30"/>
      <c r="J336" s="30"/>
      <c r="K336" s="30">
        <v>1914</v>
      </c>
      <c r="L336" s="30"/>
      <c r="M336" s="30"/>
      <c r="N336" s="13"/>
    </row>
    <row r="337" spans="1:14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1:14">
      <c r="A338" s="14" t="s">
        <v>78</v>
      </c>
      <c r="B338" s="15" t="s">
        <v>190</v>
      </c>
      <c r="C338" s="12"/>
      <c r="D338" s="12"/>
      <c r="E338" s="12" t="s">
        <v>545</v>
      </c>
      <c r="F338" s="12" t="s">
        <v>190</v>
      </c>
      <c r="G338" s="12"/>
      <c r="H338" s="12"/>
      <c r="I338" s="12"/>
      <c r="J338" s="12"/>
      <c r="K338" s="15"/>
      <c r="L338" s="13">
        <f>11222+24+54</f>
        <v>11300</v>
      </c>
      <c r="M338" s="12" t="s">
        <v>208</v>
      </c>
      <c r="N338" s="13">
        <f>SUM(B338:L339)</f>
        <v>65402</v>
      </c>
    </row>
    <row r="339" spans="1:14">
      <c r="A339" s="13"/>
      <c r="B339" s="13">
        <v>35804</v>
      </c>
      <c r="C339" s="13"/>
      <c r="D339" s="13"/>
      <c r="E339" s="13">
        <v>12105</v>
      </c>
      <c r="F339" s="13">
        <v>6193</v>
      </c>
      <c r="G339" s="13"/>
      <c r="H339" s="13"/>
      <c r="I339" s="13"/>
      <c r="J339" s="13"/>
      <c r="K339" s="13"/>
      <c r="L339" s="13"/>
      <c r="M339" s="13"/>
      <c r="N339" s="13"/>
    </row>
    <row r="340" spans="1:14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1:14">
      <c r="A341" s="33" t="s">
        <v>84</v>
      </c>
      <c r="B341" s="29" t="s">
        <v>277</v>
      </c>
      <c r="C341" s="31"/>
      <c r="D341" s="32" t="s">
        <v>277</v>
      </c>
      <c r="E341" s="32" t="s">
        <v>546</v>
      </c>
      <c r="F341" s="29" t="s">
        <v>277</v>
      </c>
      <c r="G341" s="29"/>
      <c r="H341" s="29" t="s">
        <v>546</v>
      </c>
      <c r="I341" s="29"/>
      <c r="J341" s="29"/>
      <c r="K341" s="29"/>
      <c r="L341" s="30">
        <f>11527+12+21</f>
        <v>11560</v>
      </c>
      <c r="M341" s="32" t="s">
        <v>436</v>
      </c>
      <c r="N341" s="13">
        <f>SUM(B341:L342)</f>
        <v>46081</v>
      </c>
    </row>
    <row r="342" spans="1:14">
      <c r="A342" s="30"/>
      <c r="B342" s="30">
        <v>24571</v>
      </c>
      <c r="C342" s="31"/>
      <c r="D342" s="30">
        <v>1170</v>
      </c>
      <c r="E342" s="30">
        <v>6280</v>
      </c>
      <c r="F342" s="30">
        <v>2204</v>
      </c>
      <c r="G342" s="30"/>
      <c r="H342" s="30">
        <v>296</v>
      </c>
      <c r="I342" s="30"/>
      <c r="J342" s="30"/>
      <c r="K342" s="30"/>
      <c r="L342" s="30"/>
      <c r="M342" s="30"/>
      <c r="N342" s="13"/>
    </row>
    <row r="343" spans="1:14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1:14">
      <c r="A344" s="14" t="s">
        <v>89</v>
      </c>
      <c r="B344" s="15" t="s">
        <v>350</v>
      </c>
      <c r="C344" s="12" t="s">
        <v>365</v>
      </c>
      <c r="D344" s="12" t="s">
        <v>365</v>
      </c>
      <c r="E344" s="15" t="s">
        <v>365</v>
      </c>
      <c r="F344" s="15" t="s">
        <v>350</v>
      </c>
      <c r="G344" s="15" t="s">
        <v>350</v>
      </c>
      <c r="H344" s="15" t="s">
        <v>365</v>
      </c>
      <c r="I344" s="15"/>
      <c r="J344" s="15"/>
      <c r="K344" s="15"/>
      <c r="L344" s="13">
        <f>6769+23+23</f>
        <v>6815</v>
      </c>
      <c r="M344" s="12" t="s">
        <v>437</v>
      </c>
      <c r="N344" s="13">
        <f>SUM(B344:L345)</f>
        <v>64076</v>
      </c>
    </row>
    <row r="345" spans="1:14">
      <c r="A345" s="13"/>
      <c r="B345" s="13">
        <v>19703</v>
      </c>
      <c r="C345" s="13">
        <v>29499</v>
      </c>
      <c r="D345" s="13">
        <v>1451</v>
      </c>
      <c r="E345" s="13">
        <v>4608</v>
      </c>
      <c r="F345" s="13">
        <v>1381</v>
      </c>
      <c r="G345" s="13">
        <v>387</v>
      </c>
      <c r="H345" s="13">
        <v>232</v>
      </c>
      <c r="I345" s="13"/>
      <c r="J345" s="13"/>
      <c r="K345" s="13"/>
      <c r="L345" s="13"/>
      <c r="M345" s="13"/>
      <c r="N345" s="13"/>
    </row>
    <row r="346" spans="1:14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>
      <c r="A347" s="33" t="s">
        <v>96</v>
      </c>
      <c r="B347" s="29" t="s">
        <v>366</v>
      </c>
      <c r="C347" s="32" t="s">
        <v>529</v>
      </c>
      <c r="D347" s="29" t="s">
        <v>366</v>
      </c>
      <c r="E347" s="32" t="s">
        <v>529</v>
      </c>
      <c r="F347" s="32" t="s">
        <v>366</v>
      </c>
      <c r="G347" s="32"/>
      <c r="H347" s="32" t="s">
        <v>529</v>
      </c>
      <c r="I347" s="32"/>
      <c r="J347" s="32"/>
      <c r="K347" s="29"/>
      <c r="L347" s="30">
        <f>5238+30+18</f>
        <v>5286</v>
      </c>
      <c r="M347" s="32" t="s">
        <v>367</v>
      </c>
      <c r="N347" s="13">
        <f>SUM(B347:L348)</f>
        <v>59584</v>
      </c>
    </row>
    <row r="348" spans="1:14">
      <c r="A348" s="30"/>
      <c r="B348" s="30">
        <v>26535</v>
      </c>
      <c r="C348" s="30">
        <v>20290</v>
      </c>
      <c r="D348" s="30">
        <v>1553</v>
      </c>
      <c r="E348" s="30">
        <v>3401</v>
      </c>
      <c r="F348" s="30">
        <v>2237</v>
      </c>
      <c r="G348" s="30"/>
      <c r="H348" s="30">
        <v>282</v>
      </c>
      <c r="I348" s="30"/>
      <c r="J348" s="30"/>
      <c r="K348" s="30"/>
      <c r="L348" s="30"/>
      <c r="M348" s="30"/>
      <c r="N348" s="13"/>
    </row>
    <row r="349" spans="1:14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1:14">
      <c r="A350" s="14" t="s">
        <v>99</v>
      </c>
      <c r="B350" s="15"/>
      <c r="C350" s="12" t="s">
        <v>278</v>
      </c>
      <c r="D350" s="12" t="s">
        <v>278</v>
      </c>
      <c r="E350" s="12" t="s">
        <v>278</v>
      </c>
      <c r="F350" s="12"/>
      <c r="G350" s="12"/>
      <c r="H350" s="12" t="s">
        <v>278</v>
      </c>
      <c r="I350" s="12"/>
      <c r="J350" s="12"/>
      <c r="K350" s="15"/>
      <c r="L350" s="13">
        <f>20847+88+383</f>
        <v>21318</v>
      </c>
      <c r="M350" s="12" t="s">
        <v>368</v>
      </c>
      <c r="N350" s="13">
        <f>SUM(B350:L351)</f>
        <v>75822</v>
      </c>
    </row>
    <row r="351" spans="1:14">
      <c r="A351" s="13"/>
      <c r="B351" s="13"/>
      <c r="C351" s="13">
        <v>38219</v>
      </c>
      <c r="D351" s="13">
        <v>8630</v>
      </c>
      <c r="E351" s="13">
        <v>6853</v>
      </c>
      <c r="F351" s="13"/>
      <c r="G351" s="13"/>
      <c r="H351" s="13">
        <v>802</v>
      </c>
      <c r="I351" s="13"/>
      <c r="J351" s="13"/>
      <c r="K351" s="13"/>
      <c r="L351" s="13"/>
      <c r="M351" s="13"/>
      <c r="N351" s="13"/>
    </row>
    <row r="352" spans="1:14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1:14" ht="17.25">
      <c r="A353" s="14" t="s">
        <v>2876</v>
      </c>
      <c r="B353" s="15" t="s">
        <v>2877</v>
      </c>
      <c r="C353" s="15" t="s">
        <v>713</v>
      </c>
      <c r="D353" s="15" t="s">
        <v>713</v>
      </c>
      <c r="E353" s="15" t="s">
        <v>713</v>
      </c>
      <c r="F353" s="15" t="s">
        <v>2877</v>
      </c>
      <c r="G353" s="15" t="s">
        <v>2877</v>
      </c>
      <c r="H353" s="15" t="s">
        <v>713</v>
      </c>
      <c r="I353" s="15"/>
      <c r="J353" s="15"/>
      <c r="K353" s="15"/>
      <c r="L353" s="15">
        <f>21+8</f>
        <v>29</v>
      </c>
      <c r="M353" s="15" t="s">
        <v>714</v>
      </c>
      <c r="N353" s="13">
        <f>SUM(B353:L354)</f>
        <v>16325</v>
      </c>
    </row>
    <row r="354" spans="1:14">
      <c r="A354" s="13"/>
      <c r="B354" s="13">
        <v>6919</v>
      </c>
      <c r="C354" s="13">
        <v>5833</v>
      </c>
      <c r="D354" s="13">
        <v>727</v>
      </c>
      <c r="E354" s="13">
        <v>1577</v>
      </c>
      <c r="F354" s="13">
        <v>707</v>
      </c>
      <c r="G354" s="13">
        <v>435</v>
      </c>
      <c r="H354" s="13">
        <v>98</v>
      </c>
      <c r="I354" s="13"/>
      <c r="J354" s="13"/>
      <c r="K354" s="13"/>
      <c r="L354" s="13"/>
      <c r="M354" s="13"/>
      <c r="N354" s="13"/>
    </row>
    <row r="355" spans="1:14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1:14">
      <c r="A356" s="33" t="s">
        <v>111</v>
      </c>
      <c r="B356" s="29" t="s">
        <v>369</v>
      </c>
      <c r="C356" s="32"/>
      <c r="D356" s="32" t="s">
        <v>369</v>
      </c>
      <c r="E356" s="32"/>
      <c r="F356" s="32"/>
      <c r="G356" s="32"/>
      <c r="H356" s="32"/>
      <c r="I356" s="32"/>
      <c r="J356" s="32"/>
      <c r="K356" s="29"/>
      <c r="L356" s="30">
        <f>11547+4+170</f>
        <v>11721</v>
      </c>
      <c r="M356" s="32" t="s">
        <v>370</v>
      </c>
      <c r="N356" s="13">
        <f>SUM(B356:L357)</f>
        <v>46228</v>
      </c>
    </row>
    <row r="357" spans="1:14">
      <c r="A357" s="30"/>
      <c r="B357" s="30">
        <v>29687</v>
      </c>
      <c r="C357" s="30"/>
      <c r="D357" s="30">
        <v>4820</v>
      </c>
      <c r="E357" s="30"/>
      <c r="F357" s="30"/>
      <c r="G357" s="30"/>
      <c r="H357" s="30"/>
      <c r="I357" s="30"/>
      <c r="J357" s="30"/>
      <c r="K357" s="30"/>
      <c r="L357" s="30"/>
      <c r="M357" s="30"/>
      <c r="N357" s="13"/>
    </row>
    <row r="358" spans="1:14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1:14">
      <c r="A359" s="14" t="s">
        <v>119</v>
      </c>
      <c r="B359" s="15" t="s">
        <v>371</v>
      </c>
      <c r="C359" s="12" t="s">
        <v>438</v>
      </c>
      <c r="D359" s="12" t="s">
        <v>371</v>
      </c>
      <c r="E359" s="12" t="s">
        <v>438</v>
      </c>
      <c r="F359" s="12" t="s">
        <v>371</v>
      </c>
      <c r="G359" s="12"/>
      <c r="H359" s="12" t="s">
        <v>438</v>
      </c>
      <c r="I359" s="12"/>
      <c r="J359" s="12"/>
      <c r="K359" s="15"/>
      <c r="L359" s="13">
        <f>5499+31+48</f>
        <v>5578</v>
      </c>
      <c r="M359" s="12" t="s">
        <v>372</v>
      </c>
      <c r="N359" s="13">
        <f>SUM(B359:L360)</f>
        <v>66925</v>
      </c>
    </row>
    <row r="360" spans="1:14">
      <c r="A360" s="13"/>
      <c r="B360" s="13">
        <v>38055</v>
      </c>
      <c r="C360" s="13">
        <v>15416</v>
      </c>
      <c r="D360" s="13">
        <v>1989</v>
      </c>
      <c r="E360" s="13">
        <v>2597</v>
      </c>
      <c r="F360" s="13">
        <v>2836</v>
      </c>
      <c r="G360" s="13"/>
      <c r="H360" s="13">
        <v>454</v>
      </c>
      <c r="I360" s="13"/>
      <c r="J360" s="13"/>
      <c r="K360" s="13"/>
      <c r="L360" s="13"/>
      <c r="M360" s="13"/>
      <c r="N360" s="13"/>
    </row>
    <row r="361" spans="1:14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1:14">
      <c r="A362" s="33" t="s">
        <v>127</v>
      </c>
      <c r="B362" s="29" t="s">
        <v>373</v>
      </c>
      <c r="C362" s="32" t="s">
        <v>547</v>
      </c>
      <c r="D362" s="32" t="s">
        <v>373</v>
      </c>
      <c r="E362" s="32"/>
      <c r="F362" s="32" t="s">
        <v>373</v>
      </c>
      <c r="G362" s="32" t="s">
        <v>373</v>
      </c>
      <c r="H362" s="32" t="s">
        <v>547</v>
      </c>
      <c r="I362" s="32"/>
      <c r="J362" s="32"/>
      <c r="K362" s="29"/>
      <c r="L362" s="30">
        <f>5377+37+57</f>
        <v>5471</v>
      </c>
      <c r="M362" s="32" t="s">
        <v>374</v>
      </c>
      <c r="N362" s="13">
        <f>SUM(B362:L363)</f>
        <v>64640</v>
      </c>
    </row>
    <row r="363" spans="1:14">
      <c r="A363" s="30"/>
      <c r="B363" s="30">
        <v>32251</v>
      </c>
      <c r="C363" s="30">
        <v>22335</v>
      </c>
      <c r="D363" s="30">
        <v>1750</v>
      </c>
      <c r="E363" s="30"/>
      <c r="F363" s="30">
        <v>1708</v>
      </c>
      <c r="G363" s="30">
        <v>508</v>
      </c>
      <c r="H363" s="30">
        <v>617</v>
      </c>
      <c r="I363" s="30"/>
      <c r="J363" s="30"/>
      <c r="K363" s="30"/>
      <c r="L363" s="30"/>
      <c r="M363" s="30"/>
      <c r="N363" s="13"/>
    </row>
    <row r="364" spans="1:14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1:14">
      <c r="A365" s="14" t="s">
        <v>131</v>
      </c>
      <c r="B365" s="15" t="s">
        <v>317</v>
      </c>
      <c r="C365" s="12" t="s">
        <v>439</v>
      </c>
      <c r="D365" s="12" t="s">
        <v>317</v>
      </c>
      <c r="E365" s="12" t="s">
        <v>439</v>
      </c>
      <c r="F365" s="12" t="s">
        <v>317</v>
      </c>
      <c r="G365" s="12" t="s">
        <v>317</v>
      </c>
      <c r="H365" s="12" t="s">
        <v>439</v>
      </c>
      <c r="I365" s="12"/>
      <c r="J365" s="12"/>
      <c r="K365" s="12"/>
      <c r="L365" s="13">
        <f>2946+43+19</f>
        <v>3008</v>
      </c>
      <c r="M365" s="12" t="s">
        <v>375</v>
      </c>
      <c r="N365" s="13">
        <f>SUM(B365:L366)</f>
        <v>51136</v>
      </c>
    </row>
    <row r="366" spans="1:14">
      <c r="A366" s="13"/>
      <c r="B366" s="13">
        <v>25971</v>
      </c>
      <c r="C366" s="13">
        <v>14613</v>
      </c>
      <c r="D366" s="13">
        <v>1779</v>
      </c>
      <c r="E366" s="13">
        <v>3094</v>
      </c>
      <c r="F366" s="13">
        <v>2015</v>
      </c>
      <c r="G366" s="13">
        <v>432</v>
      </c>
      <c r="H366" s="13">
        <v>224</v>
      </c>
      <c r="I366" s="13"/>
      <c r="J366" s="13"/>
      <c r="K366" s="13"/>
      <c r="L366" s="13"/>
      <c r="M366" s="13"/>
      <c r="N366" s="13"/>
    </row>
    <row r="367" spans="1:14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1:14">
      <c r="A368" s="33" t="s">
        <v>137</v>
      </c>
      <c r="B368" s="29" t="s">
        <v>548</v>
      </c>
      <c r="C368" s="32" t="s">
        <v>549</v>
      </c>
      <c r="D368" s="32" t="s">
        <v>549</v>
      </c>
      <c r="E368" s="32" t="s">
        <v>549</v>
      </c>
      <c r="F368" s="32"/>
      <c r="G368" s="32" t="s">
        <v>548</v>
      </c>
      <c r="H368" s="32" t="s">
        <v>549</v>
      </c>
      <c r="I368" s="32"/>
      <c r="J368" s="32"/>
      <c r="K368" s="32"/>
      <c r="L368" s="30">
        <f>6312+4+53</f>
        <v>6369</v>
      </c>
      <c r="M368" s="32" t="s">
        <v>550</v>
      </c>
      <c r="N368" s="13">
        <f>SUM(B368:L369)</f>
        <v>73035</v>
      </c>
    </row>
    <row r="369" spans="1:14">
      <c r="A369" s="30"/>
      <c r="B369" s="30">
        <v>24417</v>
      </c>
      <c r="C369" s="30">
        <v>34026</v>
      </c>
      <c r="D369" s="30">
        <v>1992</v>
      </c>
      <c r="E369" s="30">
        <v>4960</v>
      </c>
      <c r="F369" s="30"/>
      <c r="G369" s="30">
        <v>982</v>
      </c>
      <c r="H369" s="30">
        <v>289</v>
      </c>
      <c r="I369" s="30"/>
      <c r="J369" s="30"/>
      <c r="K369" s="30"/>
      <c r="L369" s="30"/>
      <c r="M369" s="30"/>
      <c r="N369" s="13"/>
    </row>
    <row r="370" spans="1:14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1:14">
      <c r="A371" s="14" t="s">
        <v>146</v>
      </c>
      <c r="B371" s="15" t="s">
        <v>376</v>
      </c>
      <c r="C371" s="12" t="s">
        <v>551</v>
      </c>
      <c r="D371" s="12" t="s">
        <v>376</v>
      </c>
      <c r="E371" s="12" t="s">
        <v>551</v>
      </c>
      <c r="F371" s="12"/>
      <c r="G371" s="12"/>
      <c r="H371" s="12" t="s">
        <v>551</v>
      </c>
      <c r="I371" s="12"/>
      <c r="J371" s="12"/>
      <c r="K371" s="15"/>
      <c r="L371" s="13">
        <f>4536+36</f>
        <v>4572</v>
      </c>
      <c r="M371" s="12" t="s">
        <v>440</v>
      </c>
      <c r="N371" s="13">
        <f>SUM(B371:L372)</f>
        <v>64214</v>
      </c>
    </row>
    <row r="372" spans="1:14">
      <c r="A372" s="13"/>
      <c r="B372" s="13">
        <v>30429</v>
      </c>
      <c r="C372" s="13">
        <v>22368</v>
      </c>
      <c r="D372" s="13">
        <v>3201</v>
      </c>
      <c r="E372" s="13">
        <v>3381</v>
      </c>
      <c r="F372" s="13"/>
      <c r="G372" s="13"/>
      <c r="H372" s="13">
        <v>263</v>
      </c>
      <c r="I372" s="13"/>
      <c r="J372" s="13"/>
      <c r="K372" s="13"/>
      <c r="L372" s="13"/>
      <c r="M372" s="13"/>
      <c r="N372" s="13"/>
    </row>
    <row r="373" spans="1:14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1:14">
      <c r="A374" s="33" t="s">
        <v>151</v>
      </c>
      <c r="B374" s="29"/>
      <c r="C374" s="32" t="s">
        <v>377</v>
      </c>
      <c r="D374" s="32" t="s">
        <v>377</v>
      </c>
      <c r="E374" s="32" t="s">
        <v>377</v>
      </c>
      <c r="F374" s="32"/>
      <c r="G374" s="32"/>
      <c r="H374" s="32" t="s">
        <v>377</v>
      </c>
      <c r="I374" s="32" t="s">
        <v>597</v>
      </c>
      <c r="J374" s="32"/>
      <c r="K374" s="29"/>
      <c r="L374" s="30">
        <f>10640+1+24</f>
        <v>10665</v>
      </c>
      <c r="M374" s="32" t="s">
        <v>378</v>
      </c>
      <c r="N374" s="13">
        <f>SUM(B374:L375)</f>
        <v>61004</v>
      </c>
    </row>
    <row r="375" spans="1:14">
      <c r="A375" s="30"/>
      <c r="B375" s="30"/>
      <c r="C375" s="30">
        <v>35252</v>
      </c>
      <c r="D375" s="30">
        <v>3386</v>
      </c>
      <c r="E375" s="30">
        <v>3903</v>
      </c>
      <c r="F375" s="30"/>
      <c r="G375" s="30"/>
      <c r="H375" s="30">
        <v>236</v>
      </c>
      <c r="I375" s="30">
        <v>7562</v>
      </c>
      <c r="J375" s="30"/>
      <c r="K375" s="30"/>
      <c r="L375" s="30"/>
      <c r="M375" s="30"/>
      <c r="N375" s="13"/>
    </row>
    <row r="376" spans="1:14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1:14">
      <c r="A377" s="14" t="s">
        <v>157</v>
      </c>
      <c r="B377" s="15" t="s">
        <v>552</v>
      </c>
      <c r="C377" s="12" t="s">
        <v>553</v>
      </c>
      <c r="D377" s="12" t="s">
        <v>553</v>
      </c>
      <c r="E377" s="12"/>
      <c r="F377" s="12" t="s">
        <v>552</v>
      </c>
      <c r="G377" s="12" t="s">
        <v>552</v>
      </c>
      <c r="H377" s="12" t="s">
        <v>553</v>
      </c>
      <c r="I377" s="12"/>
      <c r="J377" s="12"/>
      <c r="K377" s="12"/>
      <c r="L377" s="13">
        <f>4518+13+23</f>
        <v>4554</v>
      </c>
      <c r="M377" s="12" t="s">
        <v>554</v>
      </c>
      <c r="N377" s="13">
        <f>SUM(B377:L378)</f>
        <v>53779</v>
      </c>
    </row>
    <row r="378" spans="1:14">
      <c r="A378" s="13"/>
      <c r="B378" s="13">
        <v>23423</v>
      </c>
      <c r="C378" s="13">
        <v>21518</v>
      </c>
      <c r="D378" s="13">
        <v>1553</v>
      </c>
      <c r="E378" s="13"/>
      <c r="F378" s="13">
        <v>2046</v>
      </c>
      <c r="G378" s="13">
        <v>503</v>
      </c>
      <c r="H378" s="13">
        <v>182</v>
      </c>
      <c r="I378" s="13"/>
      <c r="J378" s="13"/>
      <c r="K378" s="13"/>
      <c r="L378" s="13"/>
      <c r="M378" s="13"/>
      <c r="N378" s="13"/>
    </row>
    <row r="379" spans="1:14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1:14">
      <c r="A380" s="33" t="s">
        <v>165</v>
      </c>
      <c r="B380" s="29" t="s">
        <v>279</v>
      </c>
      <c r="C380" s="32" t="s">
        <v>534</v>
      </c>
      <c r="D380" s="32" t="s">
        <v>534</v>
      </c>
      <c r="E380" s="32" t="s">
        <v>534</v>
      </c>
      <c r="F380" s="32" t="s">
        <v>279</v>
      </c>
      <c r="G380" s="32"/>
      <c r="H380" s="32" t="s">
        <v>534</v>
      </c>
      <c r="I380" s="32"/>
      <c r="J380" s="32"/>
      <c r="K380" s="29"/>
      <c r="L380" s="30">
        <f>2127+28+52</f>
        <v>2207</v>
      </c>
      <c r="M380" s="32" t="s">
        <v>280</v>
      </c>
      <c r="N380" s="13">
        <f>SUM(B380:L381)</f>
        <v>48189</v>
      </c>
    </row>
    <row r="381" spans="1:14">
      <c r="A381" s="30"/>
      <c r="B381" s="30">
        <v>22165</v>
      </c>
      <c r="C381" s="30">
        <v>18412</v>
      </c>
      <c r="D381" s="30">
        <v>988</v>
      </c>
      <c r="E381" s="30">
        <v>1989</v>
      </c>
      <c r="F381" s="30">
        <v>2308</v>
      </c>
      <c r="G381" s="30"/>
      <c r="H381" s="30">
        <v>120</v>
      </c>
      <c r="I381" s="30"/>
      <c r="J381" s="30"/>
      <c r="K381" s="30"/>
      <c r="L381" s="30"/>
      <c r="M381" s="30"/>
      <c r="N381" s="13"/>
    </row>
    <row r="382" spans="1:14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1:14">
      <c r="A383" s="14" t="s">
        <v>169</v>
      </c>
      <c r="B383" s="5"/>
      <c r="C383" s="15" t="s">
        <v>318</v>
      </c>
      <c r="D383" s="15" t="s">
        <v>318</v>
      </c>
      <c r="E383" s="15" t="s">
        <v>318</v>
      </c>
      <c r="F383" s="5"/>
      <c r="G383" s="5"/>
      <c r="H383" s="5"/>
      <c r="I383" s="5"/>
      <c r="J383" s="5"/>
      <c r="K383" s="12"/>
      <c r="L383" s="13">
        <f>10763+9+106</f>
        <v>10878</v>
      </c>
      <c r="M383" s="12" t="s">
        <v>379</v>
      </c>
      <c r="N383" s="13">
        <f>SUM(C383:L384)</f>
        <v>48296</v>
      </c>
    </row>
    <row r="384" spans="1:14">
      <c r="A384" s="13"/>
      <c r="B384" s="5"/>
      <c r="C384" s="13">
        <v>29884</v>
      </c>
      <c r="D384" s="13">
        <v>3820</v>
      </c>
      <c r="E384" s="13">
        <v>3714</v>
      </c>
      <c r="F384" s="5"/>
      <c r="G384" s="5"/>
      <c r="H384" s="5"/>
      <c r="I384" s="5"/>
      <c r="J384" s="5"/>
      <c r="K384" s="13"/>
      <c r="L384" s="13"/>
      <c r="M384" s="13"/>
      <c r="N384" s="13"/>
    </row>
    <row r="385" spans="1:14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>
      <c r="A386" s="33" t="s">
        <v>175</v>
      </c>
      <c r="B386" s="29"/>
      <c r="C386" s="32" t="s">
        <v>233</v>
      </c>
      <c r="D386" s="32" t="s">
        <v>233</v>
      </c>
      <c r="E386" s="32" t="s">
        <v>233</v>
      </c>
      <c r="F386" s="32"/>
      <c r="G386" s="32"/>
      <c r="H386" s="32" t="s">
        <v>233</v>
      </c>
      <c r="I386" s="32"/>
      <c r="J386" s="32"/>
      <c r="K386" s="29"/>
      <c r="L386" s="30">
        <f>13226+23+152</f>
        <v>13401</v>
      </c>
      <c r="M386" s="32" t="s">
        <v>441</v>
      </c>
      <c r="N386" s="13">
        <f>SUM(B386:L387)</f>
        <v>55966</v>
      </c>
    </row>
    <row r="387" spans="1:14">
      <c r="A387" s="30"/>
      <c r="B387" s="30"/>
      <c r="C387" s="30">
        <v>35359</v>
      </c>
      <c r="D387" s="30">
        <v>2833</v>
      </c>
      <c r="E387" s="30">
        <v>3891</v>
      </c>
      <c r="F387" s="30"/>
      <c r="G387" s="30"/>
      <c r="H387" s="30">
        <v>482</v>
      </c>
      <c r="I387" s="30"/>
      <c r="J387" s="30"/>
      <c r="K387" s="30"/>
      <c r="L387" s="30"/>
      <c r="M387" s="30"/>
      <c r="N387" s="13"/>
    </row>
    <row r="388" spans="1:14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>
      <c r="A389" s="14" t="s">
        <v>178</v>
      </c>
      <c r="B389" s="15" t="s">
        <v>380</v>
      </c>
      <c r="C389" s="12"/>
      <c r="D389" s="12" t="s">
        <v>380</v>
      </c>
      <c r="E389" s="12"/>
      <c r="F389" s="12" t="s">
        <v>380</v>
      </c>
      <c r="G389" s="12"/>
      <c r="H389" s="12"/>
      <c r="I389" s="12"/>
      <c r="J389" s="12"/>
      <c r="K389" s="12"/>
      <c r="L389" s="13">
        <f>12654+2+92</f>
        <v>12748</v>
      </c>
      <c r="M389" s="12" t="s">
        <v>381</v>
      </c>
      <c r="N389" s="13">
        <f>SUM(B389:L390)</f>
        <v>45718</v>
      </c>
    </row>
    <row r="390" spans="1:14">
      <c r="A390" s="13"/>
      <c r="B390" s="13">
        <v>24659</v>
      </c>
      <c r="C390" s="13"/>
      <c r="D390" s="13">
        <v>4397</v>
      </c>
      <c r="E390" s="13"/>
      <c r="F390" s="13">
        <v>3914</v>
      </c>
      <c r="G390" s="13"/>
      <c r="H390" s="13"/>
      <c r="I390" s="13"/>
      <c r="J390" s="13"/>
      <c r="K390" s="13"/>
      <c r="L390" s="13"/>
      <c r="M390" s="13"/>
      <c r="N390" s="13"/>
    </row>
    <row r="391" spans="1:14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>
      <c r="A392" s="30" t="s">
        <v>180</v>
      </c>
      <c r="B392" s="29"/>
      <c r="C392" s="29" t="s">
        <v>234</v>
      </c>
      <c r="D392" s="29" t="s">
        <v>234</v>
      </c>
      <c r="E392" s="29" t="s">
        <v>234</v>
      </c>
      <c r="F392" s="29"/>
      <c r="G392" s="29"/>
      <c r="H392" s="29" t="s">
        <v>234</v>
      </c>
      <c r="I392" s="29"/>
      <c r="J392" s="29"/>
      <c r="K392" s="29"/>
      <c r="L392" s="30">
        <f>12357+11+208</f>
        <v>12576</v>
      </c>
      <c r="M392" s="32" t="s">
        <v>249</v>
      </c>
      <c r="N392" s="13">
        <f>SUM(B392:L393)</f>
        <v>56851</v>
      </c>
    </row>
    <row r="393" spans="1:14">
      <c r="A393" s="33"/>
      <c r="B393" s="30"/>
      <c r="C393" s="30">
        <v>34744</v>
      </c>
      <c r="D393" s="30">
        <v>4309</v>
      </c>
      <c r="E393" s="30">
        <v>4616</v>
      </c>
      <c r="F393" s="30"/>
      <c r="G393" s="30"/>
      <c r="H393" s="30">
        <v>606</v>
      </c>
      <c r="I393" s="30"/>
      <c r="J393" s="30"/>
      <c r="K393" s="30"/>
      <c r="L393" s="30"/>
      <c r="M393" s="30"/>
      <c r="N393" s="13"/>
    </row>
    <row r="394" spans="1:14">
      <c r="A394" s="14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1:14">
      <c r="A395" s="13" t="s">
        <v>182</v>
      </c>
      <c r="B395" s="15" t="s">
        <v>382</v>
      </c>
      <c r="C395" s="12" t="s">
        <v>442</v>
      </c>
      <c r="D395" s="12" t="s">
        <v>382</v>
      </c>
      <c r="E395" s="12" t="s">
        <v>442</v>
      </c>
      <c r="F395" s="12"/>
      <c r="G395" s="12"/>
      <c r="H395" s="12" t="s">
        <v>442</v>
      </c>
      <c r="I395" s="12"/>
      <c r="J395" s="12"/>
      <c r="K395" s="15"/>
      <c r="L395" s="13">
        <f>2967+8+20</f>
        <v>2995</v>
      </c>
      <c r="M395" s="12" t="s">
        <v>132</v>
      </c>
      <c r="N395" s="13">
        <f>SUM(B395:L396)</f>
        <v>54779</v>
      </c>
    </row>
    <row r="396" spans="1:14">
      <c r="A396" s="13"/>
      <c r="B396" s="13">
        <v>23839</v>
      </c>
      <c r="C396" s="13">
        <v>20760</v>
      </c>
      <c r="D396" s="13">
        <v>3278</v>
      </c>
      <c r="E396" s="13">
        <v>3249</v>
      </c>
      <c r="F396" s="13"/>
      <c r="G396" s="13"/>
      <c r="H396" s="13">
        <v>658</v>
      </c>
      <c r="I396" s="13"/>
      <c r="J396" s="13"/>
      <c r="K396" s="13"/>
      <c r="L396" s="13"/>
      <c r="M396" s="13"/>
      <c r="N396" s="13"/>
    </row>
    <row r="397" spans="1:14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1:14">
      <c r="A398" s="33" t="s">
        <v>183</v>
      </c>
      <c r="B398" s="29"/>
      <c r="C398" s="32" t="s">
        <v>232</v>
      </c>
      <c r="D398" s="32"/>
      <c r="E398" s="32"/>
      <c r="F398" s="32"/>
      <c r="G398" s="32"/>
      <c r="H398" s="32"/>
      <c r="I398" s="32"/>
      <c r="J398" s="32"/>
      <c r="K398" s="29"/>
      <c r="L398" s="30">
        <f>15275+10+170</f>
        <v>15455</v>
      </c>
      <c r="M398" s="32" t="s">
        <v>240</v>
      </c>
      <c r="N398" s="13">
        <f>SUM(B398:L399)</f>
        <v>57412</v>
      </c>
    </row>
    <row r="399" spans="1:14">
      <c r="A399" s="30"/>
      <c r="B399" s="30"/>
      <c r="C399" s="30">
        <v>41957</v>
      </c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13"/>
    </row>
    <row r="400" spans="1:14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1:14">
      <c r="A401" s="13" t="s">
        <v>184</v>
      </c>
      <c r="B401" s="15" t="s">
        <v>237</v>
      </c>
      <c r="C401" s="15" t="s">
        <v>555</v>
      </c>
      <c r="D401" s="15" t="s">
        <v>555</v>
      </c>
      <c r="E401" s="15" t="s">
        <v>555</v>
      </c>
      <c r="F401" s="15" t="s">
        <v>237</v>
      </c>
      <c r="G401" s="15"/>
      <c r="H401" s="15" t="s">
        <v>555</v>
      </c>
      <c r="I401" s="15"/>
      <c r="J401" s="15"/>
      <c r="K401" s="15"/>
      <c r="L401" s="13">
        <f>3685+29+39</f>
        <v>3753</v>
      </c>
      <c r="M401" s="12" t="s">
        <v>250</v>
      </c>
      <c r="N401" s="13">
        <f>SUM(B401:L402)</f>
        <v>55439</v>
      </c>
    </row>
    <row r="402" spans="1:14">
      <c r="A402" s="13"/>
      <c r="B402" s="13">
        <v>29847</v>
      </c>
      <c r="C402" s="13">
        <v>15879</v>
      </c>
      <c r="D402" s="13">
        <v>926</v>
      </c>
      <c r="E402" s="13">
        <v>1937</v>
      </c>
      <c r="F402" s="13">
        <v>2766</v>
      </c>
      <c r="G402" s="13"/>
      <c r="H402" s="13">
        <v>331</v>
      </c>
      <c r="I402" s="13"/>
      <c r="J402" s="13"/>
      <c r="K402" s="13"/>
      <c r="L402" s="13"/>
      <c r="M402" s="13"/>
      <c r="N402" s="13"/>
    </row>
    <row r="403" spans="1:14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1:14">
      <c r="A404" s="30" t="s">
        <v>185</v>
      </c>
      <c r="B404" s="29" t="s">
        <v>556</v>
      </c>
      <c r="C404" s="29" t="s">
        <v>324</v>
      </c>
      <c r="D404" s="29" t="s">
        <v>324</v>
      </c>
      <c r="E404" s="29" t="s">
        <v>324</v>
      </c>
      <c r="F404" s="29" t="s">
        <v>556</v>
      </c>
      <c r="G404" s="29" t="s">
        <v>556</v>
      </c>
      <c r="H404" s="29" t="s">
        <v>324</v>
      </c>
      <c r="I404" s="29"/>
      <c r="J404" s="29"/>
      <c r="K404" s="29"/>
      <c r="L404" s="30">
        <f>2552+3+1930</f>
        <v>4485</v>
      </c>
      <c r="M404" s="32" t="s">
        <v>325</v>
      </c>
      <c r="N404" s="13">
        <f>SUM(B404:L405)</f>
        <v>57048</v>
      </c>
    </row>
    <row r="405" spans="1:14">
      <c r="A405" s="30"/>
      <c r="B405" s="30">
        <v>16662</v>
      </c>
      <c r="C405" s="30">
        <v>29976</v>
      </c>
      <c r="D405" s="30">
        <v>1291</v>
      </c>
      <c r="E405" s="30">
        <v>2859</v>
      </c>
      <c r="F405" s="30">
        <v>1231</v>
      </c>
      <c r="G405" s="30">
        <v>326</v>
      </c>
      <c r="H405" s="30">
        <v>218</v>
      </c>
      <c r="I405" s="30"/>
      <c r="J405" s="30"/>
      <c r="K405" s="30"/>
      <c r="L405" s="30"/>
      <c r="M405" s="30"/>
      <c r="N405" s="13"/>
    </row>
    <row r="406" spans="1:14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1:14">
      <c r="A407" s="14" t="s">
        <v>7</v>
      </c>
      <c r="B407" s="15" t="s">
        <v>235</v>
      </c>
      <c r="C407" s="15" t="s">
        <v>443</v>
      </c>
      <c r="D407" s="15"/>
      <c r="E407" s="15" t="s">
        <v>443</v>
      </c>
      <c r="F407" s="15" t="s">
        <v>235</v>
      </c>
      <c r="G407" s="15"/>
      <c r="H407" s="15" t="s">
        <v>443</v>
      </c>
      <c r="I407" s="15"/>
      <c r="J407" s="15"/>
      <c r="K407" s="15"/>
      <c r="L407" s="13">
        <f>3973+5+39</f>
        <v>4017</v>
      </c>
      <c r="M407" s="12" t="s">
        <v>236</v>
      </c>
      <c r="N407" s="13">
        <f>SUM(B407:L408)</f>
        <v>54697</v>
      </c>
    </row>
    <row r="408" spans="1:14">
      <c r="A408" s="13"/>
      <c r="B408" s="13">
        <v>30974</v>
      </c>
      <c r="C408" s="13">
        <v>13101</v>
      </c>
      <c r="D408" s="13"/>
      <c r="E408" s="13">
        <v>1737</v>
      </c>
      <c r="F408" s="13">
        <v>4442</v>
      </c>
      <c r="G408" s="13"/>
      <c r="H408" s="13">
        <v>426</v>
      </c>
      <c r="I408" s="13"/>
      <c r="J408" s="13"/>
      <c r="K408" s="13"/>
      <c r="L408" s="13"/>
      <c r="M408" s="13"/>
      <c r="N408" s="13"/>
    </row>
    <row r="409" spans="1:14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1:14">
      <c r="A410" s="33" t="s">
        <v>9</v>
      </c>
      <c r="B410" s="29" t="s">
        <v>444</v>
      </c>
      <c r="C410" s="32" t="s">
        <v>209</v>
      </c>
      <c r="D410" s="32" t="s">
        <v>209</v>
      </c>
      <c r="E410" s="32" t="s">
        <v>209</v>
      </c>
      <c r="F410" s="32" t="s">
        <v>444</v>
      </c>
      <c r="G410" s="32" t="s">
        <v>444</v>
      </c>
      <c r="H410" s="32" t="s">
        <v>209</v>
      </c>
      <c r="I410" s="32"/>
      <c r="J410" s="32"/>
      <c r="K410" s="29"/>
      <c r="L410" s="30">
        <f>4513+26+33</f>
        <v>4572</v>
      </c>
      <c r="M410" s="32" t="s">
        <v>210</v>
      </c>
      <c r="N410" s="13">
        <f>SUM(B410:L411)</f>
        <v>64697</v>
      </c>
    </row>
    <row r="411" spans="1:14">
      <c r="A411" s="30"/>
      <c r="B411" s="30">
        <v>20857</v>
      </c>
      <c r="C411" s="30">
        <v>30634</v>
      </c>
      <c r="D411" s="30">
        <v>1968</v>
      </c>
      <c r="E411" s="30">
        <v>4189</v>
      </c>
      <c r="F411" s="30">
        <v>1576</v>
      </c>
      <c r="G411" s="30">
        <v>614</v>
      </c>
      <c r="H411" s="30">
        <v>287</v>
      </c>
      <c r="I411" s="30"/>
      <c r="J411" s="30"/>
      <c r="K411" s="30"/>
      <c r="L411" s="30"/>
      <c r="M411" s="30"/>
      <c r="N411" s="13"/>
    </row>
    <row r="412" spans="1:14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1:14">
      <c r="A413" s="14" t="s">
        <v>15</v>
      </c>
      <c r="B413" s="15" t="s">
        <v>269</v>
      </c>
      <c r="C413" s="12" t="s">
        <v>557</v>
      </c>
      <c r="D413" s="12" t="s">
        <v>557</v>
      </c>
      <c r="E413" s="12" t="s">
        <v>558</v>
      </c>
      <c r="F413" s="12" t="s">
        <v>269</v>
      </c>
      <c r="G413" s="12" t="s">
        <v>269</v>
      </c>
      <c r="H413" s="12" t="s">
        <v>558</v>
      </c>
      <c r="I413" s="12"/>
      <c r="J413" s="12"/>
      <c r="K413" s="15"/>
      <c r="L413" s="13">
        <f>4592+25</f>
        <v>4617</v>
      </c>
      <c r="M413" s="12" t="s">
        <v>383</v>
      </c>
      <c r="N413" s="13">
        <f>SUM(B413:L414)</f>
        <v>69853</v>
      </c>
    </row>
    <row r="414" spans="1:14">
      <c r="A414" s="13"/>
      <c r="B414" s="13">
        <v>33452</v>
      </c>
      <c r="C414" s="13">
        <v>23094</v>
      </c>
      <c r="D414" s="13">
        <v>1474</v>
      </c>
      <c r="E414" s="13">
        <v>3796</v>
      </c>
      <c r="F414" s="13">
        <v>2426</v>
      </c>
      <c r="G414" s="13">
        <v>726</v>
      </c>
      <c r="H414" s="13">
        <v>268</v>
      </c>
      <c r="I414" s="13"/>
      <c r="J414" s="13"/>
      <c r="K414" s="13"/>
      <c r="L414" s="13"/>
      <c r="M414" s="13"/>
      <c r="N414" s="13"/>
    </row>
    <row r="415" spans="1:14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1:14">
      <c r="A416" s="33" t="s">
        <v>17</v>
      </c>
      <c r="B416" s="29" t="s">
        <v>559</v>
      </c>
      <c r="C416" s="32"/>
      <c r="D416" s="29" t="s">
        <v>559</v>
      </c>
      <c r="E416" s="29"/>
      <c r="F416" s="32" t="s">
        <v>559</v>
      </c>
      <c r="G416" s="32" t="s">
        <v>559</v>
      </c>
      <c r="H416" s="32"/>
      <c r="I416" s="32"/>
      <c r="J416" s="32"/>
      <c r="K416" s="29"/>
      <c r="L416" s="30">
        <f>15681+301</f>
        <v>15982</v>
      </c>
      <c r="M416" s="32" t="s">
        <v>560</v>
      </c>
      <c r="N416" s="13">
        <f>SUM(B416:L417)</f>
        <v>54872</v>
      </c>
    </row>
    <row r="417" spans="1:15">
      <c r="A417" s="30"/>
      <c r="B417" s="30">
        <v>32524</v>
      </c>
      <c r="C417" s="30"/>
      <c r="D417" s="30">
        <v>3192</v>
      </c>
      <c r="E417" s="30"/>
      <c r="F417" s="30">
        <v>2380</v>
      </c>
      <c r="G417" s="30">
        <v>794</v>
      </c>
      <c r="H417" s="30"/>
      <c r="I417" s="30"/>
      <c r="J417" s="30"/>
      <c r="K417" s="30"/>
      <c r="L417" s="30"/>
      <c r="M417" s="30"/>
      <c r="N417" s="13"/>
    </row>
    <row r="418" spans="1: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1:15">
      <c r="A419" s="14" t="s">
        <v>25</v>
      </c>
      <c r="B419" s="15" t="s">
        <v>191</v>
      </c>
      <c r="C419" s="12"/>
      <c r="D419" s="12" t="s">
        <v>191</v>
      </c>
      <c r="E419" s="12"/>
      <c r="F419" s="12" t="s">
        <v>191</v>
      </c>
      <c r="G419" s="12" t="s">
        <v>191</v>
      </c>
      <c r="H419" s="12"/>
      <c r="I419" s="12"/>
      <c r="J419" s="12"/>
      <c r="K419" s="15"/>
      <c r="L419" s="13">
        <f>10443+263</f>
        <v>10706</v>
      </c>
      <c r="M419" s="12" t="s">
        <v>192</v>
      </c>
      <c r="N419" s="13">
        <f>SUM(B419:L420)</f>
        <v>45453</v>
      </c>
    </row>
    <row r="420" spans="1:15">
      <c r="A420" s="13"/>
      <c r="B420" s="13">
        <v>28905</v>
      </c>
      <c r="C420" s="13"/>
      <c r="D420" s="13">
        <v>2776</v>
      </c>
      <c r="E420" s="13"/>
      <c r="F420" s="13">
        <v>2372</v>
      </c>
      <c r="G420" s="13">
        <v>694</v>
      </c>
      <c r="H420" s="13"/>
      <c r="I420" s="13"/>
      <c r="J420" s="13"/>
      <c r="K420" s="13"/>
      <c r="L420" s="13"/>
      <c r="M420" s="13"/>
      <c r="N420" s="13"/>
    </row>
    <row r="421" spans="1: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1:15">
      <c r="A422" s="33" t="s">
        <v>31</v>
      </c>
      <c r="B422" s="29"/>
      <c r="C422" s="32" t="s">
        <v>251</v>
      </c>
      <c r="D422" s="32"/>
      <c r="E422" s="32" t="s">
        <v>251</v>
      </c>
      <c r="F422" s="32"/>
      <c r="G422" s="32"/>
      <c r="H422" s="32"/>
      <c r="I422" s="32"/>
      <c r="J422" s="32"/>
      <c r="K422" s="29"/>
      <c r="L422" s="30">
        <f>12406+5+108</f>
        <v>12519</v>
      </c>
      <c r="M422" s="32" t="s">
        <v>18</v>
      </c>
      <c r="N422" s="13">
        <f>SUM(B422:L423)</f>
        <v>56714</v>
      </c>
    </row>
    <row r="423" spans="1:15">
      <c r="A423" s="30"/>
      <c r="B423" s="30"/>
      <c r="C423" s="30">
        <v>36314</v>
      </c>
      <c r="D423" s="30"/>
      <c r="E423" s="30">
        <v>7881</v>
      </c>
      <c r="F423" s="30"/>
      <c r="G423" s="30"/>
      <c r="H423" s="30"/>
      <c r="I423" s="30"/>
      <c r="J423" s="30"/>
      <c r="K423" s="30"/>
      <c r="L423" s="30"/>
      <c r="M423" s="30"/>
      <c r="N423" s="13"/>
    </row>
    <row r="424" spans="1: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1:15">
      <c r="A425" s="14" t="s">
        <v>35</v>
      </c>
      <c r="B425" s="15"/>
      <c r="C425" s="12" t="s">
        <v>211</v>
      </c>
      <c r="D425" s="12" t="s">
        <v>211</v>
      </c>
      <c r="E425" s="12" t="s">
        <v>211</v>
      </c>
      <c r="F425" s="12"/>
      <c r="G425" s="12"/>
      <c r="H425" s="12" t="s">
        <v>211</v>
      </c>
      <c r="I425" s="12"/>
      <c r="J425" s="12"/>
      <c r="K425" s="15"/>
      <c r="L425" s="13">
        <f>15096+217</f>
        <v>15313</v>
      </c>
      <c r="M425" s="12" t="s">
        <v>212</v>
      </c>
      <c r="N425" s="13">
        <f>SUM(B425:L426)</f>
        <v>63027</v>
      </c>
    </row>
    <row r="426" spans="1:15">
      <c r="A426" s="13"/>
      <c r="B426" s="13"/>
      <c r="C426" s="13">
        <v>36746</v>
      </c>
      <c r="D426" s="13">
        <v>4831</v>
      </c>
      <c r="E426" s="13">
        <v>5252</v>
      </c>
      <c r="F426" s="13"/>
      <c r="G426" s="13"/>
      <c r="H426" s="13">
        <v>885</v>
      </c>
      <c r="I426" s="13"/>
      <c r="J426" s="13"/>
      <c r="K426" s="13"/>
      <c r="L426" s="13"/>
      <c r="M426" s="13"/>
      <c r="N426" s="13"/>
    </row>
    <row r="427" spans="1: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5">
      <c r="A428" s="30" t="s">
        <v>44</v>
      </c>
      <c r="B428" s="29"/>
      <c r="C428" s="29" t="s">
        <v>323</v>
      </c>
      <c r="D428" s="29" t="s">
        <v>323</v>
      </c>
      <c r="E428" s="29" t="s">
        <v>323</v>
      </c>
      <c r="F428" s="29"/>
      <c r="G428" s="29"/>
      <c r="H428" s="29" t="s">
        <v>323</v>
      </c>
      <c r="I428" s="29"/>
      <c r="J428" s="29"/>
      <c r="K428" s="29"/>
      <c r="L428" s="30">
        <f>13479+1+163</f>
        <v>13643</v>
      </c>
      <c r="M428" s="29" t="s">
        <v>445</v>
      </c>
      <c r="N428" s="13">
        <f>SUM(B428:L429)</f>
        <v>58401</v>
      </c>
      <c r="O428" s="4"/>
    </row>
    <row r="429" spans="1:15">
      <c r="A429" s="30"/>
      <c r="B429" s="30"/>
      <c r="C429" s="30">
        <v>36891</v>
      </c>
      <c r="D429" s="30">
        <v>3562</v>
      </c>
      <c r="E429" s="30">
        <v>3849</v>
      </c>
      <c r="F429" s="30"/>
      <c r="G429" s="30"/>
      <c r="H429" s="30">
        <v>456</v>
      </c>
      <c r="I429" s="30"/>
      <c r="J429" s="30"/>
      <c r="K429" s="30"/>
      <c r="L429" s="30"/>
      <c r="M429" s="30"/>
      <c r="N429" s="13"/>
      <c r="O429" s="4"/>
    </row>
    <row r="430" spans="1: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4"/>
    </row>
    <row r="431" spans="1:15">
      <c r="A431" s="13" t="s">
        <v>49</v>
      </c>
      <c r="B431" s="15" t="s">
        <v>561</v>
      </c>
      <c r="C431" s="15" t="s">
        <v>562</v>
      </c>
      <c r="D431" s="15" t="s">
        <v>562</v>
      </c>
      <c r="E431" s="15" t="s">
        <v>562</v>
      </c>
      <c r="F431" s="15" t="s">
        <v>561</v>
      </c>
      <c r="G431" s="15" t="s">
        <v>561</v>
      </c>
      <c r="H431" s="15" t="s">
        <v>562</v>
      </c>
      <c r="I431" s="15"/>
      <c r="J431" s="15"/>
      <c r="K431" s="15"/>
      <c r="L431" s="13">
        <f>5506+23+342</f>
        <v>5871</v>
      </c>
      <c r="M431" s="15" t="s">
        <v>563</v>
      </c>
      <c r="N431" s="13">
        <f>SUM(B431:L432)</f>
        <v>66644</v>
      </c>
      <c r="O431" s="4"/>
    </row>
    <row r="432" spans="1:15">
      <c r="A432" s="13"/>
      <c r="B432" s="13">
        <v>24194</v>
      </c>
      <c r="C432" s="13">
        <v>28514</v>
      </c>
      <c r="D432" s="13">
        <v>1306</v>
      </c>
      <c r="E432" s="13">
        <v>4401</v>
      </c>
      <c r="F432" s="13">
        <v>1506</v>
      </c>
      <c r="G432" s="13">
        <v>653</v>
      </c>
      <c r="H432" s="13">
        <v>199</v>
      </c>
      <c r="I432" s="13"/>
      <c r="J432" s="13"/>
      <c r="K432" s="13"/>
      <c r="L432" s="13"/>
      <c r="M432" s="13"/>
      <c r="N432" s="13"/>
      <c r="O432" s="4"/>
    </row>
    <row r="433" spans="1: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4"/>
    </row>
    <row r="434" spans="1:15">
      <c r="A434" s="30" t="s">
        <v>57</v>
      </c>
      <c r="B434" s="29"/>
      <c r="C434" s="29" t="s">
        <v>446</v>
      </c>
      <c r="D434" s="29" t="s">
        <v>446</v>
      </c>
      <c r="E434" s="29" t="s">
        <v>446</v>
      </c>
      <c r="F434" s="29"/>
      <c r="G434" s="29"/>
      <c r="H434" s="29" t="s">
        <v>446</v>
      </c>
      <c r="I434" s="29"/>
      <c r="J434" s="29"/>
      <c r="K434" s="29"/>
      <c r="L434" s="30">
        <f>18509+5+188</f>
        <v>18702</v>
      </c>
      <c r="M434" s="29" t="s">
        <v>447</v>
      </c>
      <c r="N434" s="13">
        <f>SUM(B434:L435)</f>
        <v>66724</v>
      </c>
      <c r="O434" s="4"/>
    </row>
    <row r="435" spans="1:15">
      <c r="A435" s="30"/>
      <c r="B435" s="30"/>
      <c r="C435" s="30">
        <v>35882</v>
      </c>
      <c r="D435" s="30">
        <v>4733</v>
      </c>
      <c r="E435" s="30">
        <v>6838</v>
      </c>
      <c r="F435" s="30"/>
      <c r="G435" s="30"/>
      <c r="H435" s="30">
        <v>569</v>
      </c>
      <c r="I435" s="30"/>
      <c r="J435" s="30"/>
      <c r="K435" s="30"/>
      <c r="L435" s="30"/>
      <c r="M435" s="30"/>
      <c r="N435" s="13"/>
      <c r="O435" s="4"/>
    </row>
    <row r="436" spans="1: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4"/>
    </row>
    <row r="437" spans="1:15">
      <c r="A437" s="13" t="s">
        <v>60</v>
      </c>
      <c r="B437" s="15" t="s">
        <v>564</v>
      </c>
      <c r="C437" s="15" t="s">
        <v>321</v>
      </c>
      <c r="D437" s="15" t="s">
        <v>321</v>
      </c>
      <c r="E437" s="15" t="s">
        <v>321</v>
      </c>
      <c r="F437" s="15"/>
      <c r="G437" s="15" t="s">
        <v>564</v>
      </c>
      <c r="H437" s="15" t="s">
        <v>321</v>
      </c>
      <c r="I437" s="15"/>
      <c r="J437" s="15"/>
      <c r="K437" s="15"/>
      <c r="L437" s="13">
        <f>5657+15+22</f>
        <v>5694</v>
      </c>
      <c r="M437" s="15" t="s">
        <v>322</v>
      </c>
      <c r="N437" s="13">
        <f>SUM(B437:L438)</f>
        <v>76868</v>
      </c>
      <c r="O437" s="4"/>
    </row>
    <row r="438" spans="1:15">
      <c r="A438" s="13"/>
      <c r="B438" s="13">
        <v>27157</v>
      </c>
      <c r="C438" s="13">
        <v>34386</v>
      </c>
      <c r="D438" s="13">
        <v>2309</v>
      </c>
      <c r="E438" s="13">
        <v>5610</v>
      </c>
      <c r="F438" s="13"/>
      <c r="G438" s="13">
        <v>1401</v>
      </c>
      <c r="H438" s="13">
        <v>311</v>
      </c>
      <c r="I438" s="13"/>
      <c r="J438" s="13"/>
      <c r="K438" s="13"/>
      <c r="L438" s="13"/>
      <c r="M438" s="13"/>
      <c r="N438" s="13"/>
      <c r="O438" s="4"/>
    </row>
    <row r="439" spans="1: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4"/>
    </row>
    <row r="440" spans="1:15">
      <c r="A440" s="30" t="s">
        <v>66</v>
      </c>
      <c r="B440" s="29" t="s">
        <v>194</v>
      </c>
      <c r="C440" s="29"/>
      <c r="D440" s="29" t="s">
        <v>194</v>
      </c>
      <c r="E440" s="29"/>
      <c r="F440" s="29"/>
      <c r="G440" s="29"/>
      <c r="H440" s="29"/>
      <c r="I440" s="29"/>
      <c r="J440" s="29"/>
      <c r="K440" s="29"/>
      <c r="L440" s="30">
        <f>16968+6+248</f>
        <v>17222</v>
      </c>
      <c r="M440" s="29" t="s">
        <v>45</v>
      </c>
      <c r="N440" s="13">
        <f>SUM(B440:L441)</f>
        <v>63319</v>
      </c>
      <c r="O440" s="4"/>
    </row>
    <row r="441" spans="1:15">
      <c r="A441" s="30"/>
      <c r="B441" s="30">
        <v>40441</v>
      </c>
      <c r="C441" s="30"/>
      <c r="D441" s="30">
        <v>5656</v>
      </c>
      <c r="E441" s="30"/>
      <c r="F441" s="30"/>
      <c r="G441" s="30"/>
      <c r="H441" s="30"/>
      <c r="I441" s="30"/>
      <c r="J441" s="30"/>
      <c r="K441" s="30"/>
      <c r="L441" s="30"/>
      <c r="M441" s="30"/>
      <c r="N441" s="13"/>
      <c r="O441" s="4"/>
    </row>
    <row r="442" spans="1: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4"/>
    </row>
    <row r="443" spans="1:15">
      <c r="A443" s="13" t="s">
        <v>74</v>
      </c>
      <c r="B443" s="15" t="s">
        <v>195</v>
      </c>
      <c r="C443" s="15"/>
      <c r="D443" s="15"/>
      <c r="E443" s="15"/>
      <c r="F443" s="15"/>
      <c r="G443" s="15"/>
      <c r="H443" s="15"/>
      <c r="I443" s="15"/>
      <c r="J443" s="15"/>
      <c r="K443" s="15"/>
      <c r="L443" s="13">
        <f>12480+4+291</f>
        <v>12775</v>
      </c>
      <c r="M443" s="15" t="s">
        <v>50</v>
      </c>
      <c r="N443" s="13">
        <f>SUM(B443:L444)</f>
        <v>44513</v>
      </c>
      <c r="O443" s="4"/>
    </row>
    <row r="444" spans="1:15">
      <c r="A444" s="13"/>
      <c r="B444" s="13">
        <v>31738</v>
      </c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4"/>
    </row>
    <row r="445" spans="1: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4"/>
    </row>
    <row r="446" spans="1:15">
      <c r="A446" s="30" t="s">
        <v>81</v>
      </c>
      <c r="B446" s="29" t="s">
        <v>319</v>
      </c>
      <c r="C446" s="29" t="s">
        <v>565</v>
      </c>
      <c r="D446" s="29" t="s">
        <v>319</v>
      </c>
      <c r="E446" s="29"/>
      <c r="F446" s="29" t="s">
        <v>319</v>
      </c>
      <c r="G446" s="29" t="s">
        <v>319</v>
      </c>
      <c r="H446" s="29" t="s">
        <v>565</v>
      </c>
      <c r="I446" s="29"/>
      <c r="J446" s="29"/>
      <c r="K446" s="29"/>
      <c r="L446" s="30">
        <f>5407+6+96</f>
        <v>5509</v>
      </c>
      <c r="M446" s="29" t="s">
        <v>320</v>
      </c>
      <c r="N446" s="13">
        <f>SUM(B446:L447)</f>
        <v>55609</v>
      </c>
      <c r="O446" s="4"/>
    </row>
    <row r="447" spans="1:15">
      <c r="A447" s="30"/>
      <c r="B447" s="30">
        <v>28272</v>
      </c>
      <c r="C447" s="30">
        <v>17307</v>
      </c>
      <c r="D447" s="30">
        <v>1262</v>
      </c>
      <c r="E447" s="30"/>
      <c r="F447" s="30">
        <v>1926</v>
      </c>
      <c r="G447" s="30">
        <v>706</v>
      </c>
      <c r="H447" s="30">
        <v>627</v>
      </c>
      <c r="I447" s="30"/>
      <c r="J447" s="30"/>
      <c r="K447" s="30"/>
      <c r="L447" s="30"/>
      <c r="M447" s="30"/>
      <c r="N447" s="13"/>
      <c r="O447" s="4"/>
    </row>
    <row r="448" spans="1: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4"/>
    </row>
    <row r="449" spans="1:15">
      <c r="A449" s="13" t="s">
        <v>86</v>
      </c>
      <c r="B449" s="15"/>
      <c r="C449" s="15" t="s">
        <v>254</v>
      </c>
      <c r="D449" s="15" t="s">
        <v>254</v>
      </c>
      <c r="E449" s="15" t="s">
        <v>254</v>
      </c>
      <c r="F449" s="15"/>
      <c r="G449" s="15"/>
      <c r="H449" s="15" t="s">
        <v>254</v>
      </c>
      <c r="I449" s="15"/>
      <c r="J449" s="15"/>
      <c r="K449" s="15"/>
      <c r="L449" s="13">
        <f>11456+9+111</f>
        <v>11576</v>
      </c>
      <c r="M449" s="15" t="s">
        <v>255</v>
      </c>
      <c r="N449" s="13">
        <f>SUM(B449:L450)</f>
        <v>57170</v>
      </c>
      <c r="O449" s="4"/>
    </row>
    <row r="450" spans="1:15">
      <c r="A450" s="13"/>
      <c r="B450" s="13"/>
      <c r="C450" s="13">
        <v>35454</v>
      </c>
      <c r="D450" s="13">
        <v>3542</v>
      </c>
      <c r="E450" s="13">
        <v>6140</v>
      </c>
      <c r="F450" s="13"/>
      <c r="G450" s="13"/>
      <c r="H450" s="13">
        <v>458</v>
      </c>
      <c r="I450" s="13"/>
      <c r="J450" s="13"/>
      <c r="K450" s="13"/>
      <c r="L450" s="13"/>
      <c r="M450" s="13"/>
      <c r="N450" s="13"/>
      <c r="O450" s="4"/>
    </row>
    <row r="451" spans="1: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4"/>
    </row>
    <row r="452" spans="1:15">
      <c r="A452" s="30" t="s">
        <v>284</v>
      </c>
      <c r="B452" s="29" t="s">
        <v>193</v>
      </c>
      <c r="C452" s="29" t="s">
        <v>566</v>
      </c>
      <c r="D452" s="29" t="s">
        <v>193</v>
      </c>
      <c r="E452" s="29" t="s">
        <v>193</v>
      </c>
      <c r="F452" s="29"/>
      <c r="G452" s="29"/>
      <c r="H452" s="29" t="s">
        <v>566</v>
      </c>
      <c r="I452" s="29" t="s">
        <v>598</v>
      </c>
      <c r="J452" s="29"/>
      <c r="K452" s="29"/>
      <c r="L452" s="30">
        <f>5380+9</f>
        <v>5389</v>
      </c>
      <c r="M452" s="29" t="s">
        <v>196</v>
      </c>
      <c r="N452" s="13">
        <f>SUM(B452:L453)</f>
        <v>59206</v>
      </c>
      <c r="O452" s="4"/>
    </row>
    <row r="453" spans="1:15">
      <c r="A453" s="30"/>
      <c r="B453" s="30">
        <v>30802</v>
      </c>
      <c r="C453" s="30">
        <v>13555</v>
      </c>
      <c r="D453" s="30">
        <v>2342</v>
      </c>
      <c r="E453" s="30">
        <v>5191</v>
      </c>
      <c r="F453" s="30"/>
      <c r="G453" s="30"/>
      <c r="H453" s="30">
        <v>398</v>
      </c>
      <c r="I453" s="30">
        <v>1529</v>
      </c>
      <c r="J453" s="30"/>
      <c r="K453" s="30"/>
      <c r="L453" s="30"/>
      <c r="M453" s="30"/>
      <c r="N453" s="13"/>
      <c r="O453" s="4"/>
    </row>
    <row r="454" spans="1: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4"/>
    </row>
    <row r="455" spans="1:15">
      <c r="A455" s="13" t="s">
        <v>100</v>
      </c>
      <c r="B455" s="15" t="s">
        <v>568</v>
      </c>
      <c r="C455" s="15" t="s">
        <v>567</v>
      </c>
      <c r="D455" s="15"/>
      <c r="E455" s="15"/>
      <c r="F455" s="15" t="s">
        <v>568</v>
      </c>
      <c r="G455" s="15"/>
      <c r="H455" s="15"/>
      <c r="I455" s="15"/>
      <c r="J455" s="15"/>
      <c r="K455" s="15"/>
      <c r="L455" s="13">
        <v>3602</v>
      </c>
      <c r="M455" s="15" t="s">
        <v>569</v>
      </c>
      <c r="N455" s="13">
        <f>SUM(B455:L456)</f>
        <v>49157</v>
      </c>
      <c r="O455" s="4"/>
    </row>
    <row r="456" spans="1:15">
      <c r="A456" s="13"/>
      <c r="B456" s="13">
        <v>39285</v>
      </c>
      <c r="C456" s="13">
        <v>4376</v>
      </c>
      <c r="D456" s="13"/>
      <c r="E456" s="13"/>
      <c r="F456" s="13">
        <v>1894</v>
      </c>
      <c r="G456" s="13"/>
      <c r="H456" s="13"/>
      <c r="I456" s="13"/>
      <c r="J456" s="13"/>
      <c r="K456" s="13"/>
      <c r="L456" s="13"/>
      <c r="M456" s="13"/>
      <c r="N456" s="13"/>
      <c r="O456" s="4"/>
    </row>
    <row r="457" spans="1: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4"/>
    </row>
    <row r="458" spans="1:15">
      <c r="A458" s="30" t="s">
        <v>105</v>
      </c>
      <c r="B458" s="29" t="s">
        <v>384</v>
      </c>
      <c r="C458" s="29" t="s">
        <v>384</v>
      </c>
      <c r="D458" s="29" t="s">
        <v>384</v>
      </c>
      <c r="E458" s="29" t="s">
        <v>384</v>
      </c>
      <c r="F458" s="29"/>
      <c r="G458" s="29"/>
      <c r="H458" s="29"/>
      <c r="I458" s="29"/>
      <c r="J458" s="29"/>
      <c r="K458" s="29"/>
      <c r="L458" s="30">
        <v>6594</v>
      </c>
      <c r="M458" s="29" t="s">
        <v>385</v>
      </c>
      <c r="N458" s="13">
        <f>SUM(B458:L459)</f>
        <v>62141</v>
      </c>
      <c r="O458" s="4"/>
    </row>
    <row r="459" spans="1:15">
      <c r="A459" s="30"/>
      <c r="B459" s="30">
        <v>29996</v>
      </c>
      <c r="C459" s="30">
        <v>18156</v>
      </c>
      <c r="D459" s="30">
        <v>2629</v>
      </c>
      <c r="E459" s="30">
        <v>4766</v>
      </c>
      <c r="F459" s="30"/>
      <c r="G459" s="30"/>
      <c r="H459" s="30"/>
      <c r="I459" s="30"/>
      <c r="J459" s="30"/>
      <c r="K459" s="30"/>
      <c r="L459" s="30"/>
      <c r="M459" s="30"/>
      <c r="N459" s="13"/>
      <c r="O459" s="4"/>
    </row>
    <row r="460" spans="1:1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13"/>
      <c r="O460" s="4"/>
    </row>
    <row r="461" spans="1:15" ht="17.25">
      <c r="A461" s="30" t="s">
        <v>2878</v>
      </c>
      <c r="B461" s="29" t="s">
        <v>747</v>
      </c>
      <c r="C461" s="29" t="s">
        <v>748</v>
      </c>
      <c r="D461" s="29" t="s">
        <v>748</v>
      </c>
      <c r="E461" s="29" t="s">
        <v>748</v>
      </c>
      <c r="F461" s="29" t="s">
        <v>747</v>
      </c>
      <c r="G461" s="29"/>
      <c r="H461" s="29" t="s">
        <v>747</v>
      </c>
      <c r="I461" s="29"/>
      <c r="J461" s="29"/>
      <c r="K461" s="29"/>
      <c r="L461" s="29">
        <v>30</v>
      </c>
      <c r="M461" s="29" t="s">
        <v>2879</v>
      </c>
      <c r="N461" s="13">
        <f>SUM(B461:L462)</f>
        <v>11791</v>
      </c>
      <c r="O461" s="4"/>
    </row>
    <row r="462" spans="1:15">
      <c r="A462" s="30"/>
      <c r="B462" s="30">
        <v>5157</v>
      </c>
      <c r="C462" s="30">
        <v>4107</v>
      </c>
      <c r="D462" s="30">
        <v>742</v>
      </c>
      <c r="E462" s="30">
        <v>1229</v>
      </c>
      <c r="F462" s="30">
        <v>432</v>
      </c>
      <c r="G462" s="30"/>
      <c r="H462" s="30">
        <v>94</v>
      </c>
      <c r="I462" s="30"/>
      <c r="J462" s="30"/>
      <c r="K462" s="30"/>
      <c r="L462" s="30"/>
      <c r="M462" s="30"/>
      <c r="N462" s="13"/>
      <c r="O462" s="4"/>
    </row>
    <row r="463" spans="1: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4"/>
    </row>
    <row r="464" spans="1:15">
      <c r="A464" s="13" t="s">
        <v>115</v>
      </c>
      <c r="B464" s="15" t="s">
        <v>570</v>
      </c>
      <c r="C464" s="15" t="s">
        <v>571</v>
      </c>
      <c r="D464" s="15" t="s">
        <v>571</v>
      </c>
      <c r="E464" s="15" t="s">
        <v>571</v>
      </c>
      <c r="F464" s="15" t="s">
        <v>570</v>
      </c>
      <c r="G464" s="15" t="s">
        <v>570</v>
      </c>
      <c r="H464" s="15" t="s">
        <v>571</v>
      </c>
      <c r="I464" s="15"/>
      <c r="J464" s="15"/>
      <c r="K464" s="15"/>
      <c r="L464" s="13">
        <v>6640</v>
      </c>
      <c r="M464" s="15" t="s">
        <v>572</v>
      </c>
      <c r="N464" s="13">
        <f>SUM(B464:L465)</f>
        <v>62770</v>
      </c>
      <c r="O464" s="4"/>
    </row>
    <row r="465" spans="1:15">
      <c r="A465" s="13"/>
      <c r="B465" s="13">
        <v>27738</v>
      </c>
      <c r="C465" s="13">
        <v>19262</v>
      </c>
      <c r="D465" s="13">
        <v>1210</v>
      </c>
      <c r="E465" s="13">
        <v>4605</v>
      </c>
      <c r="F465" s="13">
        <v>2473</v>
      </c>
      <c r="G465" s="13">
        <v>666</v>
      </c>
      <c r="H465" s="13">
        <v>176</v>
      </c>
      <c r="I465" s="13"/>
      <c r="J465" s="13"/>
      <c r="K465" s="13"/>
      <c r="L465" s="13"/>
      <c r="M465" s="13"/>
      <c r="N465" s="13"/>
      <c r="O465" s="4"/>
    </row>
    <row r="466" spans="1: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4"/>
    </row>
    <row r="467" spans="1:15">
      <c r="A467" s="30" t="s">
        <v>123</v>
      </c>
      <c r="B467" s="29"/>
      <c r="C467" s="29" t="s">
        <v>573</v>
      </c>
      <c r="D467" s="29" t="s">
        <v>573</v>
      </c>
      <c r="E467" s="29"/>
      <c r="F467" s="29"/>
      <c r="G467" s="29"/>
      <c r="H467" s="29"/>
      <c r="I467" s="29"/>
      <c r="J467" s="29"/>
      <c r="K467" s="29"/>
      <c r="L467" s="30">
        <f>21083+112</f>
        <v>21195</v>
      </c>
      <c r="M467" s="29" t="s">
        <v>574</v>
      </c>
      <c r="N467" s="13">
        <f>SUM(B467:L468)</f>
        <v>64701</v>
      </c>
      <c r="O467" s="4"/>
    </row>
    <row r="468" spans="1:15">
      <c r="A468" s="30"/>
      <c r="B468" s="30"/>
      <c r="C468" s="30">
        <v>37747</v>
      </c>
      <c r="D468" s="30">
        <v>5759</v>
      </c>
      <c r="E468" s="30"/>
      <c r="F468" s="30"/>
      <c r="G468" s="30"/>
      <c r="H468" s="30"/>
      <c r="I468" s="30"/>
      <c r="J468" s="30"/>
      <c r="K468" s="30"/>
      <c r="L468" s="30"/>
      <c r="M468" s="30"/>
      <c r="N468" s="13"/>
      <c r="O468" s="4"/>
    </row>
    <row r="469" spans="1: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4"/>
    </row>
    <row r="470" spans="1:15">
      <c r="A470" s="13" t="s">
        <v>129</v>
      </c>
      <c r="B470" s="15" t="s">
        <v>326</v>
      </c>
      <c r="C470" s="15" t="s">
        <v>575</v>
      </c>
      <c r="D470" s="15" t="s">
        <v>575</v>
      </c>
      <c r="E470" s="15" t="s">
        <v>575</v>
      </c>
      <c r="F470" s="15" t="s">
        <v>326</v>
      </c>
      <c r="G470" s="15"/>
      <c r="H470" s="15" t="s">
        <v>575</v>
      </c>
      <c r="I470" s="15"/>
      <c r="J470" s="15"/>
      <c r="K470" s="15"/>
      <c r="L470" s="13">
        <f>5559+30</f>
        <v>5589</v>
      </c>
      <c r="M470" s="15" t="s">
        <v>576</v>
      </c>
      <c r="N470" s="13">
        <f>SUM(B470:L471)</f>
        <v>57579</v>
      </c>
      <c r="O470" s="4"/>
    </row>
    <row r="471" spans="1:15">
      <c r="A471" s="13"/>
      <c r="B471" s="13">
        <v>21642</v>
      </c>
      <c r="C471" s="13">
        <v>22241</v>
      </c>
      <c r="D471" s="13">
        <v>1483</v>
      </c>
      <c r="E471" s="13">
        <v>4404</v>
      </c>
      <c r="F471" s="13">
        <v>1967</v>
      </c>
      <c r="G471" s="13"/>
      <c r="H471" s="13">
        <v>253</v>
      </c>
      <c r="I471" s="13"/>
      <c r="J471" s="13"/>
      <c r="K471" s="13"/>
      <c r="L471" s="13"/>
      <c r="M471" s="13"/>
      <c r="N471" s="13"/>
      <c r="O471" s="4"/>
    </row>
    <row r="472" spans="1: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4"/>
    </row>
    <row r="473" spans="1:15">
      <c r="A473" s="30" t="s">
        <v>135</v>
      </c>
      <c r="B473" s="29" t="s">
        <v>448</v>
      </c>
      <c r="C473" s="29" t="s">
        <v>386</v>
      </c>
      <c r="D473" s="29" t="s">
        <v>386</v>
      </c>
      <c r="E473" s="29" t="s">
        <v>386</v>
      </c>
      <c r="F473" s="29" t="s">
        <v>448</v>
      </c>
      <c r="G473" s="29" t="s">
        <v>448</v>
      </c>
      <c r="H473" s="29" t="s">
        <v>386</v>
      </c>
      <c r="I473" s="29" t="s">
        <v>448</v>
      </c>
      <c r="J473" s="29"/>
      <c r="K473" s="29"/>
      <c r="L473" s="30">
        <v>4977</v>
      </c>
      <c r="M473" s="29" t="s">
        <v>387</v>
      </c>
      <c r="N473" s="13">
        <f>SUM(B473:L474)</f>
        <v>64683</v>
      </c>
      <c r="O473" s="4"/>
    </row>
    <row r="474" spans="1:15">
      <c r="A474" s="30"/>
      <c r="B474" s="30">
        <v>26351</v>
      </c>
      <c r="C474" s="30">
        <v>24359</v>
      </c>
      <c r="D474" s="30">
        <v>1322</v>
      </c>
      <c r="E474" s="30">
        <v>4717</v>
      </c>
      <c r="F474" s="30">
        <v>1378</v>
      </c>
      <c r="G474" s="30">
        <v>508</v>
      </c>
      <c r="H474" s="30">
        <v>162</v>
      </c>
      <c r="I474" s="30">
        <v>909</v>
      </c>
      <c r="J474" s="30"/>
      <c r="K474" s="30"/>
      <c r="L474" s="30"/>
      <c r="M474" s="30"/>
      <c r="N474" s="13"/>
      <c r="O474" s="4"/>
    </row>
    <row r="475" spans="1: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4"/>
    </row>
    <row r="476" spans="1:15">
      <c r="A476" s="13" t="s">
        <v>143</v>
      </c>
      <c r="B476" s="15"/>
      <c r="C476" s="15" t="s">
        <v>388</v>
      </c>
      <c r="D476" s="15" t="s">
        <v>388</v>
      </c>
      <c r="E476" s="15" t="s">
        <v>388</v>
      </c>
      <c r="F476" s="15"/>
      <c r="G476" s="15"/>
      <c r="H476" s="15" t="s">
        <v>388</v>
      </c>
      <c r="I476" s="15"/>
      <c r="J476" s="15"/>
      <c r="K476" s="15"/>
      <c r="L476" s="13">
        <f>15906+25+13</f>
        <v>15944</v>
      </c>
      <c r="M476" s="15" t="s">
        <v>389</v>
      </c>
      <c r="N476" s="13">
        <f>SUM(B476:L477)</f>
        <v>67502</v>
      </c>
      <c r="O476" s="4"/>
    </row>
    <row r="477" spans="1:15">
      <c r="A477" s="13"/>
      <c r="B477" s="13"/>
      <c r="C477" s="13">
        <v>38034</v>
      </c>
      <c r="D477" s="13">
        <v>4298</v>
      </c>
      <c r="E477" s="13">
        <v>8712</v>
      </c>
      <c r="F477" s="13"/>
      <c r="G477" s="13"/>
      <c r="H477" s="13">
        <v>514</v>
      </c>
      <c r="I477" s="13"/>
      <c r="J477" s="13"/>
      <c r="K477" s="13"/>
      <c r="L477" s="13"/>
      <c r="M477" s="13"/>
      <c r="N477" s="13"/>
      <c r="O477" s="4"/>
    </row>
    <row r="478" spans="1: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4"/>
    </row>
    <row r="479" spans="1:15">
      <c r="A479" s="30" t="s">
        <v>149</v>
      </c>
      <c r="B479" s="29"/>
      <c r="C479" s="29" t="s">
        <v>258</v>
      </c>
      <c r="D479" s="29" t="s">
        <v>258</v>
      </c>
      <c r="E479" s="29" t="s">
        <v>258</v>
      </c>
      <c r="F479" s="29"/>
      <c r="G479" s="29"/>
      <c r="H479" s="29" t="s">
        <v>258</v>
      </c>
      <c r="I479" s="29"/>
      <c r="J479" s="29"/>
      <c r="K479" s="29"/>
      <c r="L479" s="30">
        <f>11028+39+88</f>
        <v>11155</v>
      </c>
      <c r="M479" s="29" t="s">
        <v>259</v>
      </c>
      <c r="N479" s="13">
        <f>SUM(B479:L480)</f>
        <v>51876</v>
      </c>
      <c r="O479" s="4"/>
    </row>
    <row r="480" spans="1:15">
      <c r="A480" s="30"/>
      <c r="B480" s="30"/>
      <c r="C480" s="30">
        <v>33096</v>
      </c>
      <c r="D480" s="30">
        <v>2889</v>
      </c>
      <c r="E480" s="30">
        <v>4377</v>
      </c>
      <c r="F480" s="30"/>
      <c r="G480" s="30"/>
      <c r="H480" s="30">
        <v>359</v>
      </c>
      <c r="I480" s="30"/>
      <c r="J480" s="30"/>
      <c r="K480" s="30"/>
      <c r="L480" s="30"/>
      <c r="M480" s="30"/>
      <c r="N480" s="13"/>
      <c r="O480" s="4"/>
    </row>
    <row r="481" spans="1: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4"/>
    </row>
    <row r="482" spans="1:15">
      <c r="A482" s="13" t="s">
        <v>155</v>
      </c>
      <c r="B482" s="15" t="s">
        <v>390</v>
      </c>
      <c r="C482" s="15"/>
      <c r="D482" s="15" t="s">
        <v>390</v>
      </c>
      <c r="E482" s="15"/>
      <c r="F482" s="15" t="s">
        <v>390</v>
      </c>
      <c r="G482" s="15" t="s">
        <v>390</v>
      </c>
      <c r="H482" s="15"/>
      <c r="I482" s="15"/>
      <c r="J482" s="15"/>
      <c r="K482" s="15"/>
      <c r="L482" s="13">
        <v>15412</v>
      </c>
      <c r="M482" s="15" t="s">
        <v>391</v>
      </c>
      <c r="N482" s="13">
        <f>SUM(B482:L483)</f>
        <v>55937</v>
      </c>
      <c r="O482" s="4"/>
    </row>
    <row r="483" spans="1:15">
      <c r="A483" s="13"/>
      <c r="B483" s="13">
        <v>32819</v>
      </c>
      <c r="C483" s="13"/>
      <c r="D483" s="13">
        <v>3114</v>
      </c>
      <c r="E483" s="13"/>
      <c r="F483" s="13">
        <v>3738</v>
      </c>
      <c r="G483" s="13">
        <v>854</v>
      </c>
      <c r="H483" s="13"/>
      <c r="I483" s="13"/>
      <c r="J483" s="13"/>
      <c r="K483" s="13"/>
      <c r="L483" s="13"/>
      <c r="M483" s="13"/>
      <c r="N483" s="13"/>
      <c r="O483" s="4"/>
    </row>
    <row r="484" spans="1: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4"/>
    </row>
    <row r="485" spans="1:15">
      <c r="A485" s="30" t="s">
        <v>162</v>
      </c>
      <c r="B485" s="29" t="s">
        <v>577</v>
      </c>
      <c r="C485" s="29" t="s">
        <v>327</v>
      </c>
      <c r="D485" s="29" t="s">
        <v>327</v>
      </c>
      <c r="E485" s="29" t="s">
        <v>327</v>
      </c>
      <c r="F485" s="29" t="s">
        <v>577</v>
      </c>
      <c r="G485" s="29"/>
      <c r="H485" s="29" t="s">
        <v>577</v>
      </c>
      <c r="I485" s="29"/>
      <c r="J485" s="29"/>
      <c r="K485" s="29"/>
      <c r="L485" s="30">
        <f>2976+19</f>
        <v>2995</v>
      </c>
      <c r="M485" s="29" t="s">
        <v>328</v>
      </c>
      <c r="N485" s="13">
        <f>SUM(B485:L486)</f>
        <v>54664</v>
      </c>
      <c r="O485" s="4"/>
    </row>
    <row r="486" spans="1:15">
      <c r="A486" s="30"/>
      <c r="B486" s="30">
        <v>12020</v>
      </c>
      <c r="C486" s="30">
        <v>31455</v>
      </c>
      <c r="D486" s="30">
        <v>2434</v>
      </c>
      <c r="E486" s="30">
        <v>4383</v>
      </c>
      <c r="F486" s="30">
        <v>1183</v>
      </c>
      <c r="G486" s="30"/>
      <c r="H486" s="30">
        <v>194</v>
      </c>
      <c r="I486" s="30"/>
      <c r="J486" s="30"/>
      <c r="K486" s="30"/>
      <c r="L486" s="30"/>
      <c r="M486" s="30"/>
      <c r="N486" s="13"/>
      <c r="O486" s="4"/>
    </row>
    <row r="487" spans="1:1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3"/>
      <c r="O487" s="4"/>
    </row>
    <row r="488" spans="1:15">
      <c r="A488" s="19" t="s">
        <v>171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4"/>
    </row>
    <row r="489" spans="1:15">
      <c r="A489" s="19" t="s">
        <v>2871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4"/>
    </row>
    <row r="490" spans="1:15">
      <c r="A490" s="20" t="s">
        <v>2872</v>
      </c>
      <c r="B490" s="21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4"/>
    </row>
    <row r="491" spans="1:15">
      <c r="A491" s="20" t="s">
        <v>2873</v>
      </c>
      <c r="B491" s="21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4"/>
    </row>
    <row r="492" spans="1:15">
      <c r="A492" s="21" t="s">
        <v>2874</v>
      </c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4"/>
    </row>
    <row r="493" spans="1:15">
      <c r="A493" s="21" t="s">
        <v>579</v>
      </c>
      <c r="B493" s="21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4"/>
    </row>
    <row r="494" spans="1:15">
      <c r="A494" s="21" t="s">
        <v>2875</v>
      </c>
      <c r="B494" s="21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4"/>
    </row>
    <row r="495" spans="1:15">
      <c r="A495" s="21" t="s">
        <v>2880</v>
      </c>
      <c r="B495" s="21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4"/>
    </row>
    <row r="496" spans="1: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4"/>
    </row>
    <row r="497" spans="1:15">
      <c r="A497" s="56" t="s">
        <v>578</v>
      </c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4"/>
    </row>
    <row r="498" spans="1: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4"/>
    </row>
    <row r="499" spans="1: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4"/>
    </row>
    <row r="500" spans="1: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4"/>
    </row>
    <row r="501" spans="1: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</row>
    <row r="502" spans="1: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</row>
    <row r="503" spans="1: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</row>
  </sheetData>
  <mergeCells count="1">
    <mergeCell ref="A97:M97"/>
  </mergeCells>
  <phoneticPr fontId="0" type="noConversion"/>
  <hyperlinks>
    <hyperlink ref="A497" r:id="rId1"/>
  </hyperlinks>
  <pageMargins left="0.75" right="0.75" top="1" bottom="1" header="0.5" footer="0.5"/>
  <pageSetup scale="47" fitToHeight="7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6"/>
  <sheetViews>
    <sheetView workbookViewId="0"/>
  </sheetViews>
  <sheetFormatPr defaultColWidth="15.77734375" defaultRowHeight="15.75"/>
  <cols>
    <col min="1" max="1" width="25.77734375" customWidth="1"/>
    <col min="12" max="12" width="26.77734375" customWidth="1"/>
  </cols>
  <sheetData>
    <row r="1" spans="1:15" ht="20.25">
      <c r="A1" s="22" t="s">
        <v>0</v>
      </c>
      <c r="B1" s="8"/>
      <c r="C1" s="8"/>
      <c r="D1" s="8"/>
      <c r="E1" s="8"/>
      <c r="F1" s="9"/>
      <c r="G1" s="9"/>
      <c r="H1" s="9"/>
      <c r="I1" s="9"/>
      <c r="J1" s="7"/>
      <c r="K1" s="5"/>
      <c r="L1" s="5"/>
      <c r="M1" s="5"/>
      <c r="N1" s="5"/>
      <c r="O1" s="5"/>
    </row>
    <row r="2" spans="1:15" ht="20.25">
      <c r="A2" s="23" t="s">
        <v>761</v>
      </c>
      <c r="B2" s="8"/>
      <c r="C2" s="8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6" t="s">
        <v>583</v>
      </c>
      <c r="H4" s="26" t="s">
        <v>585</v>
      </c>
      <c r="I4" s="26" t="s">
        <v>586</v>
      </c>
      <c r="J4" s="25" t="s">
        <v>580</v>
      </c>
      <c r="K4" s="27" t="s">
        <v>582</v>
      </c>
      <c r="L4" s="25" t="s">
        <v>2</v>
      </c>
      <c r="M4" s="5"/>
      <c r="N4" s="5"/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11" t="s">
        <v>3</v>
      </c>
      <c r="B6" s="12" t="s">
        <v>216</v>
      </c>
      <c r="C6" s="12" t="s">
        <v>397</v>
      </c>
      <c r="D6" s="12" t="s">
        <v>216</v>
      </c>
      <c r="E6" s="12" t="s">
        <v>762</v>
      </c>
      <c r="F6" s="12" t="s">
        <v>216</v>
      </c>
      <c r="G6" s="12"/>
      <c r="H6" s="12"/>
      <c r="I6" s="12"/>
      <c r="J6" s="12"/>
      <c r="K6" s="13">
        <v>1628</v>
      </c>
      <c r="L6" s="12" t="s">
        <v>11</v>
      </c>
      <c r="M6" s="13">
        <f>SUM(B6:K7)</f>
        <v>34581</v>
      </c>
      <c r="N6" s="5"/>
      <c r="O6" s="5"/>
    </row>
    <row r="7" spans="1:15">
      <c r="A7" s="5"/>
      <c r="B7" s="13">
        <v>16219</v>
      </c>
      <c r="C7" s="13">
        <v>10684</v>
      </c>
      <c r="D7" s="13">
        <v>2162</v>
      </c>
      <c r="E7" s="13">
        <v>2313</v>
      </c>
      <c r="F7" s="13">
        <v>1575</v>
      </c>
      <c r="G7" s="13"/>
      <c r="H7" s="13"/>
      <c r="I7" s="13"/>
      <c r="J7" s="13"/>
      <c r="K7" s="13"/>
      <c r="L7" s="14"/>
      <c r="M7" s="13"/>
      <c r="N7" s="5"/>
      <c r="O7" s="5"/>
    </row>
    <row r="8" spans="1:15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5"/>
      <c r="O8" s="5"/>
    </row>
    <row r="9" spans="1:15">
      <c r="A9" s="28" t="s">
        <v>10</v>
      </c>
      <c r="B9" s="29" t="s">
        <v>398</v>
      </c>
      <c r="C9" s="29" t="s">
        <v>392</v>
      </c>
      <c r="D9" s="29" t="s">
        <v>398</v>
      </c>
      <c r="E9" s="29" t="s">
        <v>392</v>
      </c>
      <c r="F9" s="29" t="s">
        <v>398</v>
      </c>
      <c r="G9" s="29"/>
      <c r="H9" s="29"/>
      <c r="I9" s="29"/>
      <c r="J9" s="29"/>
      <c r="K9" s="30">
        <v>2099</v>
      </c>
      <c r="L9" s="29" t="s">
        <v>393</v>
      </c>
      <c r="M9" s="13">
        <f>SUM(B9:K10)</f>
        <v>37546</v>
      </c>
      <c r="N9" s="5"/>
      <c r="O9" s="5"/>
    </row>
    <row r="10" spans="1:15">
      <c r="A10" s="31"/>
      <c r="B10" s="30">
        <v>11011</v>
      </c>
      <c r="C10" s="30">
        <v>18152</v>
      </c>
      <c r="D10" s="30">
        <v>1124</v>
      </c>
      <c r="E10" s="30">
        <v>4182</v>
      </c>
      <c r="F10" s="30">
        <v>978</v>
      </c>
      <c r="G10" s="30"/>
      <c r="H10" s="30"/>
      <c r="I10" s="30"/>
      <c r="J10" s="30"/>
      <c r="K10" s="30"/>
      <c r="L10" s="30"/>
      <c r="M10" s="13"/>
      <c r="N10" s="5"/>
      <c r="O10" s="5"/>
    </row>
    <row r="11" spans="1:15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"/>
      <c r="O11" s="5"/>
    </row>
    <row r="12" spans="1:15">
      <c r="A12" s="11" t="s">
        <v>16</v>
      </c>
      <c r="B12" s="12" t="s">
        <v>763</v>
      </c>
      <c r="C12" s="12" t="s">
        <v>285</v>
      </c>
      <c r="D12" s="12" t="s">
        <v>285</v>
      </c>
      <c r="E12" s="12" t="s">
        <v>285</v>
      </c>
      <c r="F12" s="12" t="s">
        <v>763</v>
      </c>
      <c r="G12" s="12"/>
      <c r="H12" s="12"/>
      <c r="I12" s="12"/>
      <c r="J12" s="12"/>
      <c r="K12" s="13">
        <v>1286</v>
      </c>
      <c r="L12" s="12" t="s">
        <v>399</v>
      </c>
      <c r="M12" s="13">
        <f>SUM(B12:K13)</f>
        <v>25228</v>
      </c>
      <c r="N12" s="5"/>
      <c r="O12" s="5"/>
    </row>
    <row r="13" spans="1:15">
      <c r="A13" s="5"/>
      <c r="B13" s="13">
        <v>10352</v>
      </c>
      <c r="C13" s="13">
        <v>9386</v>
      </c>
      <c r="D13" s="13">
        <v>576</v>
      </c>
      <c r="E13" s="13">
        <v>2271</v>
      </c>
      <c r="F13" s="13">
        <v>1357</v>
      </c>
      <c r="G13" s="13"/>
      <c r="H13" s="13"/>
      <c r="I13" s="13"/>
      <c r="J13" s="13"/>
      <c r="K13" s="13"/>
      <c r="L13" s="14"/>
      <c r="M13" s="13"/>
      <c r="N13" s="5"/>
      <c r="O13" s="5"/>
    </row>
    <row r="14" spans="1:15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/>
      <c r="O14" s="5"/>
    </row>
    <row r="15" spans="1:15">
      <c r="A15" s="28" t="s">
        <v>26</v>
      </c>
      <c r="B15" s="32" t="s">
        <v>187</v>
      </c>
      <c r="C15" s="32" t="s">
        <v>764</v>
      </c>
      <c r="D15" s="32" t="s">
        <v>198</v>
      </c>
      <c r="E15" s="32" t="s">
        <v>764</v>
      </c>
      <c r="F15" s="32" t="s">
        <v>198</v>
      </c>
      <c r="G15" s="32"/>
      <c r="H15" s="32"/>
      <c r="I15" s="32"/>
      <c r="J15" s="32"/>
      <c r="K15" s="30">
        <v>1383</v>
      </c>
      <c r="L15" s="32" t="s">
        <v>27</v>
      </c>
      <c r="M15" s="13">
        <f>SUM(B15:K16)</f>
        <v>29594</v>
      </c>
      <c r="N15" s="5"/>
      <c r="O15" s="5"/>
    </row>
    <row r="16" spans="1:15">
      <c r="A16" s="31"/>
      <c r="B16" s="30">
        <v>14229</v>
      </c>
      <c r="C16" s="30">
        <v>9491</v>
      </c>
      <c r="D16" s="30">
        <v>1022</v>
      </c>
      <c r="E16" s="32">
        <v>2337</v>
      </c>
      <c r="F16" s="32">
        <v>1132</v>
      </c>
      <c r="G16" s="32"/>
      <c r="H16" s="32"/>
      <c r="I16" s="32"/>
      <c r="J16" s="30"/>
      <c r="K16" s="30"/>
      <c r="L16" s="33"/>
      <c r="M16" s="13"/>
      <c r="N16" s="5"/>
      <c r="O16" s="5"/>
    </row>
    <row r="17" spans="1:15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"/>
      <c r="O17" s="5"/>
    </row>
    <row r="18" spans="1:15">
      <c r="A18" s="11" t="s">
        <v>40</v>
      </c>
      <c r="B18" s="12" t="s">
        <v>400</v>
      </c>
      <c r="C18" s="12" t="s">
        <v>286</v>
      </c>
      <c r="D18" s="12" t="s">
        <v>286</v>
      </c>
      <c r="E18" s="12" t="s">
        <v>286</v>
      </c>
      <c r="F18" s="12"/>
      <c r="G18" s="12"/>
      <c r="H18" s="12"/>
      <c r="I18" s="12"/>
      <c r="J18" s="12" t="s">
        <v>765</v>
      </c>
      <c r="K18" s="13">
        <v>2206</v>
      </c>
      <c r="L18" s="12" t="s">
        <v>287</v>
      </c>
      <c r="M18" s="13">
        <f>SUM(B18:K19)</f>
        <v>27539</v>
      </c>
      <c r="N18" s="5"/>
      <c r="O18" s="5"/>
    </row>
    <row r="19" spans="1:15">
      <c r="A19" s="5"/>
      <c r="B19" s="13">
        <v>8365</v>
      </c>
      <c r="C19" s="13">
        <v>12883</v>
      </c>
      <c r="D19" s="13">
        <v>829</v>
      </c>
      <c r="E19" s="13">
        <v>2892</v>
      </c>
      <c r="F19" s="13"/>
      <c r="G19" s="13"/>
      <c r="H19" s="13"/>
      <c r="I19" s="13"/>
      <c r="J19" s="13">
        <v>364</v>
      </c>
      <c r="K19" s="13"/>
      <c r="L19" s="14"/>
      <c r="M19" s="13"/>
      <c r="N19" s="5"/>
      <c r="O19" s="5"/>
    </row>
    <row r="20" spans="1:15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"/>
      <c r="O20" s="5"/>
    </row>
    <row r="21" spans="1:15">
      <c r="A21" s="28" t="s">
        <v>52</v>
      </c>
      <c r="B21" s="32" t="s">
        <v>217</v>
      </c>
      <c r="C21" s="32" t="s">
        <v>766</v>
      </c>
      <c r="D21" s="32" t="s">
        <v>217</v>
      </c>
      <c r="E21" s="32" t="s">
        <v>766</v>
      </c>
      <c r="F21" s="32" t="s">
        <v>217</v>
      </c>
      <c r="G21" s="32"/>
      <c r="H21" s="32"/>
      <c r="I21" s="32"/>
      <c r="J21" s="29" t="s">
        <v>767</v>
      </c>
      <c r="K21" s="30">
        <v>813</v>
      </c>
      <c r="L21" s="32" t="s">
        <v>218</v>
      </c>
      <c r="M21" s="13">
        <f>SUM(B21:K22)</f>
        <v>14582</v>
      </c>
      <c r="N21" s="5"/>
      <c r="O21" s="5"/>
    </row>
    <row r="22" spans="1:15">
      <c r="A22" s="31"/>
      <c r="B22" s="30">
        <v>8626</v>
      </c>
      <c r="C22" s="30">
        <v>3367</v>
      </c>
      <c r="D22" s="30">
        <v>332</v>
      </c>
      <c r="E22" s="30">
        <v>841</v>
      </c>
      <c r="F22" s="30">
        <v>479</v>
      </c>
      <c r="G22" s="30"/>
      <c r="H22" s="30"/>
      <c r="I22" s="30"/>
      <c r="J22" s="30">
        <v>124</v>
      </c>
      <c r="K22" s="30"/>
      <c r="L22" s="33"/>
      <c r="M22" s="13"/>
      <c r="N22" s="5"/>
      <c r="O22" s="5"/>
    </row>
    <row r="23" spans="1:15">
      <c r="A23" s="5"/>
      <c r="B23" s="16"/>
      <c r="C23" s="16"/>
      <c r="D23" s="16"/>
      <c r="E23" s="16"/>
      <c r="F23" s="16"/>
      <c r="G23" s="16"/>
      <c r="H23" s="16"/>
      <c r="I23" s="16"/>
      <c r="J23" s="13"/>
      <c r="K23" s="13"/>
      <c r="L23" s="13"/>
      <c r="M23" s="13"/>
      <c r="N23" s="5"/>
      <c r="O23" s="5"/>
    </row>
    <row r="24" spans="1:15">
      <c r="A24" s="11" t="s">
        <v>59</v>
      </c>
      <c r="B24" s="12" t="s">
        <v>768</v>
      </c>
      <c r="C24" s="12" t="s">
        <v>331</v>
      </c>
      <c r="D24" s="12" t="s">
        <v>331</v>
      </c>
      <c r="E24" s="12" t="s">
        <v>331</v>
      </c>
      <c r="F24" s="12"/>
      <c r="G24" s="12"/>
      <c r="H24" s="12"/>
      <c r="I24" s="12"/>
      <c r="J24" s="12"/>
      <c r="K24" s="13">
        <v>2611</v>
      </c>
      <c r="L24" s="12" t="s">
        <v>332</v>
      </c>
      <c r="M24" s="13">
        <f>SUM(B24:K25)</f>
        <v>32610</v>
      </c>
      <c r="N24" s="5"/>
      <c r="O24" s="5"/>
    </row>
    <row r="25" spans="1:15">
      <c r="A25" s="5"/>
      <c r="B25" s="13">
        <v>9162</v>
      </c>
      <c r="C25" s="13">
        <v>15839</v>
      </c>
      <c r="D25" s="13">
        <v>1351</v>
      </c>
      <c r="E25" s="13">
        <v>3647</v>
      </c>
      <c r="F25" s="13"/>
      <c r="G25" s="13"/>
      <c r="H25" s="13"/>
      <c r="I25" s="13"/>
      <c r="J25" s="13"/>
      <c r="K25" s="13"/>
      <c r="L25" s="14"/>
      <c r="M25" s="13"/>
      <c r="N25" s="5"/>
      <c r="O25" s="5"/>
    </row>
    <row r="26" spans="1:15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"/>
      <c r="O26" s="5"/>
    </row>
    <row r="27" spans="1:15">
      <c r="A27" s="28" t="s">
        <v>64</v>
      </c>
      <c r="B27" s="32" t="s">
        <v>769</v>
      </c>
      <c r="C27" s="32" t="s">
        <v>219</v>
      </c>
      <c r="D27" s="32" t="s">
        <v>219</v>
      </c>
      <c r="E27" s="32" t="s">
        <v>219</v>
      </c>
      <c r="F27" s="32" t="s">
        <v>769</v>
      </c>
      <c r="G27" s="32"/>
      <c r="H27" s="32"/>
      <c r="I27" s="32"/>
      <c r="J27" s="32"/>
      <c r="K27" s="30">
        <v>1550</v>
      </c>
      <c r="L27" s="32" t="s">
        <v>220</v>
      </c>
      <c r="M27" s="13">
        <f>SUM(B27:K28)</f>
        <v>35504</v>
      </c>
      <c r="N27" s="5"/>
      <c r="O27" s="5"/>
    </row>
    <row r="28" spans="1:15">
      <c r="A28" s="31"/>
      <c r="B28" s="30">
        <v>10591</v>
      </c>
      <c r="C28" s="30">
        <v>17769</v>
      </c>
      <c r="D28" s="30">
        <v>885</v>
      </c>
      <c r="E28" s="30">
        <v>3530</v>
      </c>
      <c r="F28" s="30">
        <v>1179</v>
      </c>
      <c r="G28" s="30"/>
      <c r="H28" s="30"/>
      <c r="I28" s="30"/>
      <c r="J28" s="30"/>
      <c r="K28" s="30"/>
      <c r="L28" s="33"/>
      <c r="M28" s="13"/>
      <c r="N28" s="5"/>
      <c r="O28" s="5"/>
    </row>
    <row r="29" spans="1:1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"/>
      <c r="O29" s="5"/>
    </row>
    <row r="30" spans="1:15">
      <c r="A30" s="11" t="s">
        <v>73</v>
      </c>
      <c r="B30" s="12" t="s">
        <v>770</v>
      </c>
      <c r="C30" s="12" t="s">
        <v>243</v>
      </c>
      <c r="D30" s="12" t="s">
        <v>243</v>
      </c>
      <c r="E30" s="12" t="s">
        <v>243</v>
      </c>
      <c r="F30" s="12"/>
      <c r="G30" s="12"/>
      <c r="H30" s="12"/>
      <c r="I30" s="12"/>
      <c r="J30" s="12" t="s">
        <v>288</v>
      </c>
      <c r="K30" s="13">
        <v>1682</v>
      </c>
      <c r="L30" s="12" t="s">
        <v>401</v>
      </c>
      <c r="M30" s="13">
        <f>SUM(B30:K31)</f>
        <v>32073</v>
      </c>
      <c r="N30" s="5"/>
      <c r="O30" s="5"/>
    </row>
    <row r="31" spans="1:15">
      <c r="A31" s="5"/>
      <c r="B31" s="13">
        <v>7507</v>
      </c>
      <c r="C31" s="13">
        <v>18488</v>
      </c>
      <c r="D31" s="13">
        <v>1084</v>
      </c>
      <c r="E31" s="13">
        <v>3125</v>
      </c>
      <c r="F31" s="13"/>
      <c r="G31" s="13"/>
      <c r="H31" s="13"/>
      <c r="I31" s="13"/>
      <c r="J31" s="13">
        <v>187</v>
      </c>
      <c r="K31" s="13"/>
      <c r="L31" s="14"/>
      <c r="M31" s="13"/>
      <c r="N31" s="5"/>
      <c r="O31" s="5"/>
    </row>
    <row r="32" spans="1:15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"/>
      <c r="O32" s="5"/>
    </row>
    <row r="33" spans="1:15">
      <c r="A33" s="28" t="s">
        <v>80</v>
      </c>
      <c r="B33" s="32" t="s">
        <v>771</v>
      </c>
      <c r="C33" s="32" t="s">
        <v>333</v>
      </c>
      <c r="D33" s="32" t="s">
        <v>333</v>
      </c>
      <c r="E33" s="32" t="s">
        <v>333</v>
      </c>
      <c r="F33" s="32"/>
      <c r="G33" s="32"/>
      <c r="H33" s="32"/>
      <c r="I33" s="32"/>
      <c r="J33" s="32"/>
      <c r="K33" s="30">
        <v>2007</v>
      </c>
      <c r="L33" s="32" t="s">
        <v>334</v>
      </c>
      <c r="M33" s="13">
        <f>SUM(B33:K34)</f>
        <v>29831</v>
      </c>
      <c r="N33" s="5"/>
      <c r="O33" s="5"/>
    </row>
    <row r="34" spans="1:15">
      <c r="A34" s="31"/>
      <c r="B34" s="30">
        <v>10367</v>
      </c>
      <c r="C34" s="30">
        <v>13887</v>
      </c>
      <c r="D34" s="30">
        <v>1297</v>
      </c>
      <c r="E34" s="30">
        <v>2273</v>
      </c>
      <c r="F34" s="30"/>
      <c r="G34" s="30"/>
      <c r="H34" s="30"/>
      <c r="I34" s="30"/>
      <c r="J34" s="30"/>
      <c r="K34" s="30"/>
      <c r="L34" s="33"/>
      <c r="M34" s="13"/>
      <c r="N34" s="5"/>
      <c r="O34" s="5"/>
    </row>
    <row r="35" spans="1:15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"/>
      <c r="O35" s="5"/>
    </row>
    <row r="36" spans="1:15">
      <c r="A36" s="11" t="s">
        <v>83</v>
      </c>
      <c r="B36" s="12" t="s">
        <v>402</v>
      </c>
      <c r="C36" s="12" t="s">
        <v>772</v>
      </c>
      <c r="D36" s="12" t="s">
        <v>402</v>
      </c>
      <c r="E36" s="15" t="s">
        <v>233</v>
      </c>
      <c r="F36" s="12" t="s">
        <v>402</v>
      </c>
      <c r="G36" s="12"/>
      <c r="H36" s="12"/>
      <c r="I36" s="12"/>
      <c r="J36" s="12"/>
      <c r="K36" s="13">
        <v>1064</v>
      </c>
      <c r="L36" s="12" t="s">
        <v>403</v>
      </c>
      <c r="M36" s="13">
        <f>SUM(B36:K37)</f>
        <v>21068</v>
      </c>
      <c r="N36" s="5"/>
      <c r="O36" s="5"/>
    </row>
    <row r="37" spans="1:15">
      <c r="A37" s="5"/>
      <c r="B37" s="13">
        <v>10328</v>
      </c>
      <c r="C37" s="13">
        <v>6670</v>
      </c>
      <c r="D37" s="13">
        <v>572</v>
      </c>
      <c r="E37" s="13">
        <v>1738</v>
      </c>
      <c r="F37" s="13">
        <v>696</v>
      </c>
      <c r="G37" s="13"/>
      <c r="H37" s="13"/>
      <c r="I37" s="13"/>
      <c r="J37" s="13"/>
      <c r="K37" s="13"/>
      <c r="L37" s="14"/>
      <c r="M37" s="13"/>
      <c r="N37" s="5"/>
      <c r="O37" s="5"/>
    </row>
    <row r="38" spans="1:15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"/>
      <c r="O38" s="5"/>
    </row>
    <row r="39" spans="1:15">
      <c r="A39" s="28" t="s">
        <v>91</v>
      </c>
      <c r="B39" s="32" t="s">
        <v>238</v>
      </c>
      <c r="C39" s="32"/>
      <c r="D39" s="32" t="s">
        <v>238</v>
      </c>
      <c r="E39" s="32" t="s">
        <v>238</v>
      </c>
      <c r="F39" s="32"/>
      <c r="G39" s="32"/>
      <c r="H39" s="32"/>
      <c r="I39" s="32"/>
      <c r="J39" s="32"/>
      <c r="K39" s="30">
        <v>7474</v>
      </c>
      <c r="L39" s="32" t="s">
        <v>239</v>
      </c>
      <c r="M39" s="13">
        <f>SUM(B39:K40)</f>
        <v>31684</v>
      </c>
      <c r="N39" s="5"/>
      <c r="O39" s="5"/>
    </row>
    <row r="40" spans="1:15">
      <c r="A40" s="31"/>
      <c r="B40" s="30">
        <v>17202</v>
      </c>
      <c r="C40" s="30"/>
      <c r="D40" s="30">
        <v>3553</v>
      </c>
      <c r="E40" s="30">
        <v>3455</v>
      </c>
      <c r="F40" s="30"/>
      <c r="G40" s="30"/>
      <c r="H40" s="30"/>
      <c r="I40" s="30"/>
      <c r="J40" s="30"/>
      <c r="K40" s="30"/>
      <c r="L40" s="33"/>
      <c r="M40" s="13"/>
      <c r="N40" s="5"/>
      <c r="O40" s="5"/>
    </row>
    <row r="41" spans="1: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"/>
      <c r="O41" s="5"/>
    </row>
    <row r="42" spans="1:15">
      <c r="A42" s="11" t="s">
        <v>94</v>
      </c>
      <c r="B42" s="12" t="s">
        <v>244</v>
      </c>
      <c r="C42" s="12" t="s">
        <v>773</v>
      </c>
      <c r="D42" s="12" t="s">
        <v>244</v>
      </c>
      <c r="E42" s="12" t="s">
        <v>773</v>
      </c>
      <c r="F42" s="12" t="s">
        <v>244</v>
      </c>
      <c r="G42" s="12" t="s">
        <v>244</v>
      </c>
      <c r="H42" s="12" t="s">
        <v>588</v>
      </c>
      <c r="I42" s="12"/>
      <c r="J42" s="15"/>
      <c r="K42" s="13">
        <v>1475</v>
      </c>
      <c r="L42" s="12" t="s">
        <v>245</v>
      </c>
      <c r="M42" s="13">
        <f>SUM(B42:K43)</f>
        <v>30841</v>
      </c>
      <c r="N42" s="5"/>
      <c r="O42" s="5"/>
    </row>
    <row r="43" spans="1:15">
      <c r="A43" s="5"/>
      <c r="B43" s="13">
        <v>16071</v>
      </c>
      <c r="C43" s="13">
        <v>9920</v>
      </c>
      <c r="D43" s="13">
        <v>555</v>
      </c>
      <c r="E43" s="13">
        <v>1370</v>
      </c>
      <c r="F43" s="13">
        <v>677</v>
      </c>
      <c r="G43" s="13">
        <v>384</v>
      </c>
      <c r="H43" s="13">
        <v>389</v>
      </c>
      <c r="I43" s="13"/>
      <c r="J43" s="13"/>
      <c r="K43" s="13"/>
      <c r="L43" s="14"/>
      <c r="M43" s="13"/>
      <c r="N43" s="5"/>
      <c r="O43" s="5"/>
    </row>
    <row r="44" spans="1:15">
      <c r="A44" s="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"/>
      <c r="O44" s="5"/>
    </row>
    <row r="45" spans="1:15">
      <c r="A45" s="28" t="s">
        <v>104</v>
      </c>
      <c r="B45" s="32" t="s">
        <v>774</v>
      </c>
      <c r="C45" s="32" t="s">
        <v>213</v>
      </c>
      <c r="D45" s="32" t="s">
        <v>213</v>
      </c>
      <c r="E45" s="32" t="s">
        <v>213</v>
      </c>
      <c r="F45" s="32" t="s">
        <v>774</v>
      </c>
      <c r="G45" s="32"/>
      <c r="H45" s="32"/>
      <c r="I45" s="32"/>
      <c r="J45" s="29" t="s">
        <v>293</v>
      </c>
      <c r="K45" s="30">
        <v>2030</v>
      </c>
      <c r="L45" s="32" t="s">
        <v>214</v>
      </c>
      <c r="M45" s="13">
        <f>SUM(B45:K46)</f>
        <v>36346</v>
      </c>
      <c r="N45" s="5"/>
      <c r="O45" s="5"/>
    </row>
    <row r="46" spans="1:15">
      <c r="A46" s="31"/>
      <c r="B46" s="30">
        <v>9798</v>
      </c>
      <c r="C46" s="30">
        <v>19727</v>
      </c>
      <c r="D46" s="30">
        <v>935</v>
      </c>
      <c r="E46" s="30">
        <v>2772</v>
      </c>
      <c r="F46" s="30">
        <v>902</v>
      </c>
      <c r="G46" s="30"/>
      <c r="H46" s="30"/>
      <c r="I46" s="30"/>
      <c r="J46" s="29">
        <v>182</v>
      </c>
      <c r="K46" s="30"/>
      <c r="L46" s="33"/>
      <c r="M46" s="13"/>
      <c r="N46" s="5"/>
      <c r="O46" s="5"/>
    </row>
    <row r="47" spans="1:15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"/>
      <c r="O47" s="5"/>
    </row>
    <row r="48" spans="1:15">
      <c r="A48" s="11" t="s">
        <v>110</v>
      </c>
      <c r="B48" s="12" t="s">
        <v>775</v>
      </c>
      <c r="C48" s="12" t="s">
        <v>291</v>
      </c>
      <c r="D48" s="12" t="s">
        <v>291</v>
      </c>
      <c r="E48" s="12" t="s">
        <v>291</v>
      </c>
      <c r="F48" s="12"/>
      <c r="G48" s="12"/>
      <c r="H48" s="12"/>
      <c r="I48" s="12"/>
      <c r="J48" s="15" t="s">
        <v>776</v>
      </c>
      <c r="K48" s="13">
        <v>1928</v>
      </c>
      <c r="L48" s="12" t="s">
        <v>292</v>
      </c>
      <c r="M48" s="13">
        <f>SUM(B48:K49)</f>
        <v>31401</v>
      </c>
      <c r="N48" s="5"/>
      <c r="O48" s="5"/>
    </row>
    <row r="49" spans="1:15">
      <c r="A49" s="5"/>
      <c r="B49" s="13">
        <v>9801</v>
      </c>
      <c r="C49" s="13">
        <v>16190</v>
      </c>
      <c r="D49" s="13">
        <v>770</v>
      </c>
      <c r="E49" s="13">
        <v>2551</v>
      </c>
      <c r="F49" s="13"/>
      <c r="G49" s="13"/>
      <c r="H49" s="13"/>
      <c r="I49" s="13"/>
      <c r="J49" s="13">
        <v>161</v>
      </c>
      <c r="K49" s="13"/>
      <c r="L49" s="14"/>
      <c r="M49" s="13"/>
      <c r="N49" s="5"/>
      <c r="O49" s="5"/>
    </row>
    <row r="50" spans="1:15">
      <c r="A50" s="5"/>
      <c r="B50" s="15"/>
      <c r="C50" s="15"/>
      <c r="D50" s="15"/>
      <c r="E50" s="15"/>
      <c r="F50" s="15"/>
      <c r="G50" s="15"/>
      <c r="H50" s="15"/>
      <c r="I50" s="15"/>
      <c r="J50" s="15"/>
      <c r="K50" s="13"/>
      <c r="L50" s="13"/>
      <c r="M50" s="13"/>
      <c r="N50" s="5"/>
      <c r="O50" s="5"/>
    </row>
    <row r="51" spans="1:15">
      <c r="A51" s="28" t="s">
        <v>114</v>
      </c>
      <c r="B51" s="32" t="s">
        <v>777</v>
      </c>
      <c r="C51" s="32" t="s">
        <v>683</v>
      </c>
      <c r="D51" s="32" t="s">
        <v>777</v>
      </c>
      <c r="E51" s="32" t="s">
        <v>683</v>
      </c>
      <c r="F51" s="32" t="s">
        <v>777</v>
      </c>
      <c r="G51" s="32" t="s">
        <v>777</v>
      </c>
      <c r="H51" s="32"/>
      <c r="I51" s="32"/>
      <c r="J51" s="29"/>
      <c r="K51" s="30">
        <v>1146</v>
      </c>
      <c r="L51" s="32" t="s">
        <v>778</v>
      </c>
      <c r="M51" s="13">
        <f>SUM(B51:K52)</f>
        <v>31662</v>
      </c>
      <c r="N51" s="5"/>
      <c r="O51" s="5"/>
    </row>
    <row r="52" spans="1:15">
      <c r="A52" s="31"/>
      <c r="B52" s="30">
        <v>16331</v>
      </c>
      <c r="C52" s="30">
        <v>10700</v>
      </c>
      <c r="D52" s="30">
        <v>550</v>
      </c>
      <c r="E52" s="30">
        <v>1389</v>
      </c>
      <c r="F52" s="30">
        <v>960</v>
      </c>
      <c r="G52" s="30">
        <v>586</v>
      </c>
      <c r="H52" s="30"/>
      <c r="I52" s="30"/>
      <c r="J52" s="30"/>
      <c r="K52" s="30"/>
      <c r="L52" s="33"/>
      <c r="M52" s="13"/>
      <c r="N52" s="5"/>
      <c r="O52" s="5"/>
    </row>
    <row r="53" spans="1:15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5"/>
      <c r="O53" s="5"/>
    </row>
    <row r="54" spans="1:15">
      <c r="A54" s="11" t="s">
        <v>128</v>
      </c>
      <c r="B54" s="12" t="s">
        <v>779</v>
      </c>
      <c r="C54" s="12" t="s">
        <v>252</v>
      </c>
      <c r="D54" s="12" t="s">
        <v>252</v>
      </c>
      <c r="E54" s="12" t="s">
        <v>252</v>
      </c>
      <c r="F54" s="12"/>
      <c r="G54" s="12"/>
      <c r="H54" s="12"/>
      <c r="I54" s="12"/>
      <c r="J54" s="15" t="s">
        <v>335</v>
      </c>
      <c r="K54" s="13">
        <v>1922</v>
      </c>
      <c r="L54" s="12" t="s">
        <v>253</v>
      </c>
      <c r="M54" s="13">
        <f>SUM(B54:K55)</f>
        <v>30721</v>
      </c>
      <c r="N54" s="5"/>
      <c r="O54" s="5"/>
    </row>
    <row r="55" spans="1:15">
      <c r="A55" s="5"/>
      <c r="B55" s="13">
        <v>8887</v>
      </c>
      <c r="C55" s="13">
        <v>16229</v>
      </c>
      <c r="D55" s="13">
        <v>811</v>
      </c>
      <c r="E55" s="13">
        <v>2727</v>
      </c>
      <c r="F55" s="13"/>
      <c r="G55" s="13"/>
      <c r="H55" s="13"/>
      <c r="I55" s="13"/>
      <c r="J55" s="13">
        <v>145</v>
      </c>
      <c r="K55" s="13"/>
      <c r="L55" s="14"/>
      <c r="M55" s="13"/>
      <c r="N55" s="5"/>
      <c r="O55" s="5"/>
    </row>
    <row r="56" spans="1:15">
      <c r="A56" s="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5"/>
      <c r="O56" s="5"/>
    </row>
    <row r="57" spans="1:15">
      <c r="A57" s="28" t="s">
        <v>133</v>
      </c>
      <c r="B57" s="32" t="s">
        <v>221</v>
      </c>
      <c r="C57" s="32" t="s">
        <v>404</v>
      </c>
      <c r="D57" s="32" t="s">
        <v>221</v>
      </c>
      <c r="E57" s="32" t="s">
        <v>404</v>
      </c>
      <c r="F57" s="32"/>
      <c r="G57" s="32"/>
      <c r="H57" s="32"/>
      <c r="I57" s="32"/>
      <c r="J57" s="32" t="s">
        <v>780</v>
      </c>
      <c r="K57" s="30">
        <v>1531</v>
      </c>
      <c r="L57" s="32" t="s">
        <v>222</v>
      </c>
      <c r="M57" s="13">
        <f>SUM(B57:K58)</f>
        <v>21781</v>
      </c>
      <c r="N57" s="5"/>
      <c r="O57" s="5"/>
    </row>
    <row r="58" spans="1:15">
      <c r="A58" s="31"/>
      <c r="B58" s="30">
        <v>16513</v>
      </c>
      <c r="C58" s="30">
        <v>2686</v>
      </c>
      <c r="D58" s="30">
        <v>517</v>
      </c>
      <c r="E58" s="30">
        <v>469</v>
      </c>
      <c r="F58" s="30"/>
      <c r="G58" s="30"/>
      <c r="H58" s="30"/>
      <c r="I58" s="30"/>
      <c r="J58" s="30">
        <v>65</v>
      </c>
      <c r="K58" s="30"/>
      <c r="L58" s="33"/>
      <c r="M58" s="13"/>
      <c r="N58" s="5"/>
      <c r="O58" s="5"/>
    </row>
    <row r="59" spans="1:15">
      <c r="A59" s="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5"/>
      <c r="O59" s="5"/>
    </row>
    <row r="60" spans="1:15">
      <c r="A60" s="11" t="s">
        <v>138</v>
      </c>
      <c r="B60" s="12" t="s">
        <v>336</v>
      </c>
      <c r="C60" s="12" t="s">
        <v>294</v>
      </c>
      <c r="D60" s="12" t="s">
        <v>294</v>
      </c>
      <c r="E60" s="12" t="s">
        <v>294</v>
      </c>
      <c r="F60" s="12" t="s">
        <v>336</v>
      </c>
      <c r="G60" s="12"/>
      <c r="H60" s="12"/>
      <c r="I60" s="12"/>
      <c r="J60" s="12" t="s">
        <v>295</v>
      </c>
      <c r="K60" s="13">
        <v>2073</v>
      </c>
      <c r="L60" s="12" t="s">
        <v>296</v>
      </c>
      <c r="M60" s="13">
        <f>SUM(B60:K61)</f>
        <v>32788</v>
      </c>
      <c r="N60" s="5"/>
      <c r="O60" s="5"/>
    </row>
    <row r="61" spans="1:15">
      <c r="A61" s="5"/>
      <c r="B61" s="13">
        <v>8698</v>
      </c>
      <c r="C61" s="13">
        <v>17704</v>
      </c>
      <c r="D61" s="13">
        <v>699</v>
      </c>
      <c r="E61" s="13">
        <v>2646</v>
      </c>
      <c r="F61" s="13">
        <v>823</v>
      </c>
      <c r="G61" s="13"/>
      <c r="H61" s="13"/>
      <c r="I61" s="13"/>
      <c r="J61" s="13">
        <v>145</v>
      </c>
      <c r="K61" s="13"/>
      <c r="L61" s="14"/>
      <c r="M61" s="13"/>
      <c r="N61" s="5"/>
      <c r="O61" s="5"/>
    </row>
    <row r="62" spans="1:15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5"/>
      <c r="O62" s="5"/>
    </row>
    <row r="63" spans="1:15">
      <c r="A63" s="28" t="s">
        <v>141</v>
      </c>
      <c r="B63" s="32" t="s">
        <v>781</v>
      </c>
      <c r="C63" s="32" t="s">
        <v>782</v>
      </c>
      <c r="D63" s="32"/>
      <c r="E63" s="32" t="s">
        <v>782</v>
      </c>
      <c r="F63" s="32" t="s">
        <v>781</v>
      </c>
      <c r="G63" s="32" t="s">
        <v>781</v>
      </c>
      <c r="H63" s="32"/>
      <c r="I63" s="32"/>
      <c r="J63" s="29" t="s">
        <v>783</v>
      </c>
      <c r="K63" s="30">
        <v>1562</v>
      </c>
      <c r="L63" s="32" t="s">
        <v>784</v>
      </c>
      <c r="M63" s="13">
        <f>SUM(B63:K64)</f>
        <v>33431</v>
      </c>
      <c r="N63" s="5"/>
      <c r="O63" s="5"/>
    </row>
    <row r="64" spans="1:15">
      <c r="A64" s="31"/>
      <c r="B64" s="30">
        <v>15761</v>
      </c>
      <c r="C64" s="30">
        <v>12884</v>
      </c>
      <c r="D64" s="30"/>
      <c r="E64" s="30">
        <v>1560</v>
      </c>
      <c r="F64" s="30">
        <v>1239</v>
      </c>
      <c r="G64" s="30">
        <v>425</v>
      </c>
      <c r="H64" s="30"/>
      <c r="I64" s="30"/>
      <c r="J64" s="29">
        <v>0</v>
      </c>
      <c r="K64" s="30"/>
      <c r="L64" s="33"/>
      <c r="M64" s="13"/>
      <c r="N64" s="5"/>
      <c r="O64" s="5"/>
    </row>
    <row r="65" spans="1:15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5"/>
      <c r="O65" s="5"/>
    </row>
    <row r="66" spans="1:15">
      <c r="A66" s="11" t="s">
        <v>147</v>
      </c>
      <c r="B66" s="12" t="s">
        <v>785</v>
      </c>
      <c r="C66" s="12" t="s">
        <v>289</v>
      </c>
      <c r="D66" s="12" t="s">
        <v>289</v>
      </c>
      <c r="E66" s="12" t="s">
        <v>289</v>
      </c>
      <c r="F66" s="12"/>
      <c r="G66" s="12"/>
      <c r="H66" s="12"/>
      <c r="I66" s="12"/>
      <c r="J66" s="15" t="s">
        <v>786</v>
      </c>
      <c r="K66" s="13">
        <v>1914</v>
      </c>
      <c r="L66" s="12" t="s">
        <v>290</v>
      </c>
      <c r="M66" s="13">
        <f>SUM(B66:K67)</f>
        <v>34312</v>
      </c>
      <c r="N66" s="5"/>
      <c r="O66" s="5"/>
    </row>
    <row r="67" spans="1:15">
      <c r="A67" s="5"/>
      <c r="B67" s="13">
        <v>11935</v>
      </c>
      <c r="C67" s="13">
        <v>16887</v>
      </c>
      <c r="D67" s="13">
        <v>914</v>
      </c>
      <c r="E67" s="13">
        <v>2522</v>
      </c>
      <c r="F67" s="13"/>
      <c r="G67" s="13"/>
      <c r="H67" s="13"/>
      <c r="I67" s="13"/>
      <c r="J67" s="13">
        <v>140</v>
      </c>
      <c r="K67" s="13"/>
      <c r="L67" s="14"/>
      <c r="M67" s="13"/>
      <c r="N67" s="5"/>
      <c r="O67" s="5"/>
    </row>
    <row r="68" spans="1:15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5"/>
      <c r="O68" s="5"/>
    </row>
    <row r="69" spans="1:15">
      <c r="A69" s="34" t="s">
        <v>152</v>
      </c>
      <c r="B69" s="32" t="s">
        <v>337</v>
      </c>
      <c r="C69" s="32" t="s">
        <v>630</v>
      </c>
      <c r="D69" s="32" t="s">
        <v>337</v>
      </c>
      <c r="E69" s="32" t="s">
        <v>630</v>
      </c>
      <c r="F69" s="32" t="s">
        <v>337</v>
      </c>
      <c r="G69" s="32" t="s">
        <v>337</v>
      </c>
      <c r="H69" s="32"/>
      <c r="I69" s="32"/>
      <c r="J69" s="32"/>
      <c r="K69" s="30">
        <v>1432</v>
      </c>
      <c r="L69" s="32" t="s">
        <v>338</v>
      </c>
      <c r="M69" s="13">
        <f>SUM(B69:K70)</f>
        <v>28246</v>
      </c>
      <c r="N69" s="5"/>
      <c r="O69" s="5"/>
    </row>
    <row r="70" spans="1:15">
      <c r="A70" s="31"/>
      <c r="B70" s="30">
        <v>14315</v>
      </c>
      <c r="C70" s="30">
        <v>9396</v>
      </c>
      <c r="D70" s="30">
        <v>527</v>
      </c>
      <c r="E70" s="30">
        <v>1441</v>
      </c>
      <c r="F70" s="30">
        <v>830</v>
      </c>
      <c r="G70" s="30">
        <v>305</v>
      </c>
      <c r="H70" s="30"/>
      <c r="I70" s="30"/>
      <c r="J70" s="30"/>
      <c r="K70" s="30"/>
      <c r="L70" s="33"/>
      <c r="M70" s="13"/>
      <c r="N70" s="5"/>
      <c r="O70" s="5"/>
    </row>
    <row r="71" spans="1:15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5"/>
      <c r="O71" s="5"/>
    </row>
    <row r="72" spans="1:15">
      <c r="A72" s="11" t="s">
        <v>156</v>
      </c>
      <c r="B72" s="12" t="s">
        <v>787</v>
      </c>
      <c r="C72" s="12"/>
      <c r="D72" s="12"/>
      <c r="E72" s="12" t="s">
        <v>787</v>
      </c>
      <c r="F72" s="12"/>
      <c r="G72" s="12"/>
      <c r="H72" s="12"/>
      <c r="I72" s="12"/>
      <c r="J72" s="15"/>
      <c r="K72" s="13">
        <v>3753</v>
      </c>
      <c r="L72" s="12" t="s">
        <v>788</v>
      </c>
      <c r="M72" s="13">
        <f>SUM(B72:K73)</f>
        <v>17632</v>
      </c>
      <c r="N72" s="5"/>
      <c r="O72" s="5"/>
    </row>
    <row r="73" spans="1:15">
      <c r="A73" s="5"/>
      <c r="B73" s="13">
        <v>10137</v>
      </c>
      <c r="C73" s="13"/>
      <c r="D73" s="13"/>
      <c r="E73" s="13">
        <v>3742</v>
      </c>
      <c r="F73" s="13"/>
      <c r="G73" s="13"/>
      <c r="H73" s="13"/>
      <c r="I73" s="13"/>
      <c r="J73" s="13"/>
      <c r="K73" s="13"/>
      <c r="L73" s="14"/>
      <c r="M73" s="13"/>
      <c r="N73" s="5"/>
      <c r="O73" s="5"/>
    </row>
    <row r="74" spans="1:15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5"/>
      <c r="O74" s="5"/>
    </row>
    <row r="75" spans="1:15">
      <c r="A75" s="34" t="s">
        <v>163</v>
      </c>
      <c r="B75" s="32" t="s">
        <v>164</v>
      </c>
      <c r="C75" s="32"/>
      <c r="D75" s="32"/>
      <c r="E75" s="32"/>
      <c r="F75" s="32" t="s">
        <v>789</v>
      </c>
      <c r="G75" s="32"/>
      <c r="H75" s="32"/>
      <c r="I75" s="32"/>
      <c r="J75" s="29"/>
      <c r="K75" s="30">
        <v>2575</v>
      </c>
      <c r="L75" s="32" t="s">
        <v>297</v>
      </c>
      <c r="M75" s="13">
        <f>SUM(B75:K76)</f>
        <v>13378</v>
      </c>
      <c r="N75" s="5"/>
      <c r="O75" s="5"/>
    </row>
    <row r="76" spans="1:15">
      <c r="A76" s="31"/>
      <c r="B76" s="30">
        <v>9768</v>
      </c>
      <c r="C76" s="30"/>
      <c r="D76" s="30"/>
      <c r="E76" s="30"/>
      <c r="F76" s="30">
        <v>1035</v>
      </c>
      <c r="G76" s="30"/>
      <c r="H76" s="30"/>
      <c r="I76" s="30"/>
      <c r="J76" s="30"/>
      <c r="K76" s="30"/>
      <c r="L76" s="33"/>
      <c r="M76" s="13"/>
      <c r="N76" s="5"/>
      <c r="O76" s="5"/>
    </row>
    <row r="77" spans="1:15">
      <c r="A77" s="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5"/>
      <c r="O77" s="5"/>
    </row>
    <row r="78" spans="1:15">
      <c r="A78" s="11" t="s">
        <v>168</v>
      </c>
      <c r="B78" s="12" t="s">
        <v>339</v>
      </c>
      <c r="C78" s="12"/>
      <c r="D78" s="12" t="s">
        <v>339</v>
      </c>
      <c r="E78" s="12"/>
      <c r="F78" s="12" t="s">
        <v>339</v>
      </c>
      <c r="G78" s="12"/>
      <c r="H78" s="12"/>
      <c r="I78" s="12"/>
      <c r="J78" s="15"/>
      <c r="K78" s="13">
        <v>3533</v>
      </c>
      <c r="L78" s="12" t="s">
        <v>340</v>
      </c>
      <c r="M78" s="13">
        <f>SUM(B78:K79)</f>
        <v>12644</v>
      </c>
      <c r="N78" s="5"/>
      <c r="O78" s="5"/>
    </row>
    <row r="79" spans="1:15">
      <c r="A79" s="5"/>
      <c r="B79" s="13">
        <v>7875</v>
      </c>
      <c r="C79" s="13"/>
      <c r="D79" s="13">
        <v>557</v>
      </c>
      <c r="E79" s="13"/>
      <c r="F79" s="13">
        <v>679</v>
      </c>
      <c r="G79" s="13"/>
      <c r="H79" s="13"/>
      <c r="I79" s="13"/>
      <c r="J79" s="13"/>
      <c r="K79" s="13"/>
      <c r="L79" s="14"/>
      <c r="M79" s="13"/>
      <c r="N79" s="5"/>
      <c r="O79" s="5"/>
    </row>
    <row r="80" spans="1:15">
      <c r="A80" s="5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5"/>
      <c r="O80" s="5"/>
    </row>
    <row r="81" spans="1:15">
      <c r="A81" s="28" t="s">
        <v>174</v>
      </c>
      <c r="B81" s="32" t="s">
        <v>298</v>
      </c>
      <c r="C81" s="32"/>
      <c r="D81" s="32" t="s">
        <v>298</v>
      </c>
      <c r="E81" s="32"/>
      <c r="F81" s="32" t="s">
        <v>298</v>
      </c>
      <c r="G81" s="32"/>
      <c r="H81" s="32"/>
      <c r="I81" s="32"/>
      <c r="J81" s="32"/>
      <c r="K81" s="30">
        <v>5669</v>
      </c>
      <c r="L81" s="32" t="s">
        <v>299</v>
      </c>
      <c r="M81" s="13">
        <f>SUM(B81:K82)</f>
        <v>20521</v>
      </c>
      <c r="N81" s="5"/>
      <c r="O81" s="5"/>
    </row>
    <row r="82" spans="1:15">
      <c r="A82" s="31"/>
      <c r="B82" s="30">
        <v>12252</v>
      </c>
      <c r="C82" s="30"/>
      <c r="D82" s="30">
        <v>1500</v>
      </c>
      <c r="E82" s="30"/>
      <c r="F82" s="30">
        <v>1100</v>
      </c>
      <c r="G82" s="30"/>
      <c r="H82" s="30"/>
      <c r="I82" s="30"/>
      <c r="J82" s="30"/>
      <c r="K82" s="30"/>
      <c r="L82" s="33"/>
      <c r="M82" s="13"/>
      <c r="N82" s="5"/>
      <c r="O82" s="5"/>
    </row>
    <row r="83" spans="1: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>
      <c r="A84" s="8" t="s">
        <v>176</v>
      </c>
      <c r="B84" s="12" t="s">
        <v>341</v>
      </c>
      <c r="C84" s="12"/>
      <c r="D84" s="12" t="s">
        <v>341</v>
      </c>
      <c r="E84" s="12" t="s">
        <v>341</v>
      </c>
      <c r="F84" s="12"/>
      <c r="G84" s="12"/>
      <c r="H84" s="12"/>
      <c r="I84" s="12"/>
      <c r="J84" s="15"/>
      <c r="K84" s="13">
        <v>3030</v>
      </c>
      <c r="L84" s="12" t="s">
        <v>342</v>
      </c>
      <c r="M84" s="5">
        <f>SUM(B84:K85)</f>
        <v>14037</v>
      </c>
      <c r="N84" s="5"/>
      <c r="O84" s="5"/>
    </row>
    <row r="85" spans="1:15">
      <c r="A85" s="5"/>
      <c r="B85" s="13">
        <v>9054</v>
      </c>
      <c r="C85" s="13"/>
      <c r="D85" s="13">
        <v>513</v>
      </c>
      <c r="E85" s="13">
        <v>1440</v>
      </c>
      <c r="F85" s="13"/>
      <c r="G85" s="13"/>
      <c r="H85" s="13"/>
      <c r="I85" s="13"/>
      <c r="J85" s="13"/>
      <c r="K85" s="13"/>
      <c r="L85" s="14"/>
      <c r="M85" s="5"/>
      <c r="N85" s="5"/>
      <c r="O85" s="5"/>
    </row>
    <row r="86" spans="1:15">
      <c r="A86" s="5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4"/>
      <c r="M86" s="5"/>
      <c r="N86" s="5"/>
      <c r="O86" s="5"/>
    </row>
    <row r="87" spans="1:15">
      <c r="A87" s="34" t="s">
        <v>179</v>
      </c>
      <c r="B87" s="29" t="s">
        <v>256</v>
      </c>
      <c r="C87" s="29"/>
      <c r="D87" s="29"/>
      <c r="E87" s="29"/>
      <c r="F87" s="29" t="s">
        <v>256</v>
      </c>
      <c r="G87" s="29"/>
      <c r="H87" s="29"/>
      <c r="I87" s="29"/>
      <c r="J87" s="29"/>
      <c r="K87" s="30">
        <v>4844</v>
      </c>
      <c r="L87" s="29" t="s">
        <v>257</v>
      </c>
      <c r="M87" s="5">
        <f>SUM(B87:K88)</f>
        <v>17053</v>
      </c>
      <c r="N87" s="5"/>
      <c r="O87" s="5"/>
    </row>
    <row r="88" spans="1:15">
      <c r="A88" s="31"/>
      <c r="B88" s="30">
        <v>10488</v>
      </c>
      <c r="C88" s="30"/>
      <c r="D88" s="30"/>
      <c r="E88" s="30"/>
      <c r="F88" s="30">
        <v>1721</v>
      </c>
      <c r="G88" s="30"/>
      <c r="H88" s="30"/>
      <c r="I88" s="30"/>
      <c r="J88" s="30"/>
      <c r="K88" s="30"/>
      <c r="L88" s="30"/>
      <c r="M88" s="5"/>
      <c r="N88" s="5"/>
      <c r="O88" s="5"/>
    </row>
    <row r="89" spans="1:15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5"/>
      <c r="N89" s="5"/>
      <c r="O89" s="5"/>
    </row>
    <row r="90" spans="1:15">
      <c r="A90" s="11" t="s">
        <v>181</v>
      </c>
      <c r="B90" s="12" t="s">
        <v>790</v>
      </c>
      <c r="C90" s="12"/>
      <c r="D90" s="12"/>
      <c r="E90" s="12"/>
      <c r="F90" s="12" t="s">
        <v>791</v>
      </c>
      <c r="G90" s="12"/>
      <c r="H90" s="12"/>
      <c r="I90" s="12"/>
      <c r="J90" s="15"/>
      <c r="K90" s="13">
        <v>1926</v>
      </c>
      <c r="L90" s="15" t="s">
        <v>792</v>
      </c>
      <c r="M90" s="5">
        <f>SUM(B90:K91)</f>
        <v>17190</v>
      </c>
      <c r="N90" s="5"/>
      <c r="O90" s="5"/>
    </row>
    <row r="91" spans="1:15">
      <c r="A91" s="5"/>
      <c r="B91" s="13">
        <v>14749</v>
      </c>
      <c r="C91" s="13"/>
      <c r="D91" s="13"/>
      <c r="E91" s="13"/>
      <c r="F91" s="13">
        <v>515</v>
      </c>
      <c r="G91" s="13"/>
      <c r="H91" s="13"/>
      <c r="I91" s="13"/>
      <c r="J91" s="13"/>
      <c r="K91" s="13"/>
      <c r="L91" s="13"/>
      <c r="M91" s="5"/>
      <c r="N91" s="5"/>
      <c r="O91" s="5"/>
    </row>
    <row r="92" spans="1: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>
      <c r="A93" s="33" t="s">
        <v>4</v>
      </c>
      <c r="B93" s="32" t="s">
        <v>793</v>
      </c>
      <c r="C93" s="32"/>
      <c r="D93" s="32"/>
      <c r="E93" s="32"/>
      <c r="F93" s="32"/>
      <c r="G93" s="32"/>
      <c r="H93" s="32"/>
      <c r="I93" s="32"/>
      <c r="J93" s="32"/>
      <c r="K93" s="30">
        <v>4386</v>
      </c>
      <c r="L93" s="32" t="s">
        <v>794</v>
      </c>
      <c r="M93" s="5">
        <f>SUM(B93:K94)</f>
        <v>13501</v>
      </c>
      <c r="N93" s="5"/>
      <c r="O93" s="5"/>
    </row>
    <row r="94" spans="1:15">
      <c r="A94" s="30"/>
      <c r="B94" s="30">
        <v>9115</v>
      </c>
      <c r="C94" s="30"/>
      <c r="D94" s="30"/>
      <c r="E94" s="30"/>
      <c r="F94" s="30"/>
      <c r="G94" s="30"/>
      <c r="H94" s="30"/>
      <c r="I94" s="30"/>
      <c r="J94" s="30"/>
      <c r="K94" s="30"/>
      <c r="L94" s="33"/>
      <c r="M94" s="5"/>
      <c r="N94" s="5"/>
      <c r="O94" s="5"/>
    </row>
    <row r="95" spans="1: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5"/>
      <c r="N95" s="5"/>
      <c r="O95" s="5"/>
    </row>
    <row r="96" spans="1:15">
      <c r="A96" s="14" t="s">
        <v>12</v>
      </c>
      <c r="B96" s="12" t="s">
        <v>223</v>
      </c>
      <c r="C96" s="12"/>
      <c r="D96" s="12"/>
      <c r="E96" s="12"/>
      <c r="F96" s="12" t="s">
        <v>223</v>
      </c>
      <c r="G96" s="12"/>
      <c r="H96" s="12"/>
      <c r="I96" s="12"/>
      <c r="J96" s="12"/>
      <c r="K96" s="13">
        <v>1629</v>
      </c>
      <c r="L96" s="12" t="s">
        <v>282</v>
      </c>
      <c r="M96" s="5">
        <f>SUM(B96:K97)</f>
        <v>11716</v>
      </c>
      <c r="N96" s="5"/>
      <c r="O96" s="5"/>
    </row>
    <row r="97" spans="1:15">
      <c r="A97" s="13"/>
      <c r="B97" s="13">
        <v>9713</v>
      </c>
      <c r="C97" s="13"/>
      <c r="D97" s="13"/>
      <c r="E97" s="13"/>
      <c r="F97" s="13">
        <v>374</v>
      </c>
      <c r="G97" s="13"/>
      <c r="H97" s="13"/>
      <c r="I97" s="13"/>
      <c r="J97" s="13"/>
      <c r="K97" s="13"/>
      <c r="L97" s="14"/>
      <c r="M97" s="5"/>
      <c r="N97" s="5"/>
      <c r="O97" s="5"/>
    </row>
    <row r="98" spans="1: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5"/>
      <c r="N98" s="5"/>
      <c r="O98" s="5"/>
    </row>
    <row r="99" spans="1:15">
      <c r="A99" s="33" t="s">
        <v>19</v>
      </c>
      <c r="B99" s="32" t="s">
        <v>20</v>
      </c>
      <c r="C99" s="32"/>
      <c r="D99" s="32"/>
      <c r="E99" s="32"/>
      <c r="F99" s="32"/>
      <c r="G99" s="32"/>
      <c r="H99" s="32"/>
      <c r="I99" s="32"/>
      <c r="J99" s="32"/>
      <c r="K99" s="30">
        <v>1991</v>
      </c>
      <c r="L99" s="32" t="s">
        <v>21</v>
      </c>
      <c r="M99" s="5">
        <f>SUM(B99:K100)</f>
        <v>16077</v>
      </c>
      <c r="N99" s="5"/>
      <c r="O99" s="5"/>
    </row>
    <row r="100" spans="1:15">
      <c r="A100" s="30"/>
      <c r="B100" s="30">
        <v>14086</v>
      </c>
      <c r="C100" s="30"/>
      <c r="D100" s="30"/>
      <c r="E100" s="30"/>
      <c r="F100" s="30"/>
      <c r="G100" s="30"/>
      <c r="H100" s="30"/>
      <c r="I100" s="30"/>
      <c r="J100" s="30"/>
      <c r="K100" s="30"/>
      <c r="L100" s="33"/>
      <c r="M100" s="5"/>
      <c r="N100" s="5"/>
      <c r="O100" s="5"/>
    </row>
    <row r="101" spans="1: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5"/>
      <c r="N101" s="5"/>
      <c r="O101" s="5"/>
    </row>
    <row r="102" spans="1:15">
      <c r="A102" s="14" t="s">
        <v>30</v>
      </c>
      <c r="B102" s="12" t="s">
        <v>795</v>
      </c>
      <c r="C102" s="12"/>
      <c r="D102" s="12"/>
      <c r="E102" s="12"/>
      <c r="F102" s="12" t="s">
        <v>796</v>
      </c>
      <c r="G102" s="12"/>
      <c r="H102" s="12"/>
      <c r="I102" s="12"/>
      <c r="J102" s="12"/>
      <c r="K102" s="13">
        <v>2696</v>
      </c>
      <c r="L102" s="12" t="s">
        <v>797</v>
      </c>
      <c r="M102" s="5">
        <f>SUM(B102:K103)</f>
        <v>18675</v>
      </c>
      <c r="N102" s="5"/>
      <c r="O102" s="5"/>
    </row>
    <row r="103" spans="1:15">
      <c r="A103" s="13"/>
      <c r="B103" s="13">
        <v>15108</v>
      </c>
      <c r="C103" s="13"/>
      <c r="D103" s="13"/>
      <c r="E103" s="13"/>
      <c r="F103" s="13">
        <v>871</v>
      </c>
      <c r="G103" s="13"/>
      <c r="H103" s="13"/>
      <c r="I103" s="13"/>
      <c r="J103" s="14"/>
      <c r="K103" s="13"/>
      <c r="L103" s="14"/>
      <c r="M103" s="5"/>
      <c r="N103" s="5"/>
      <c r="O103" s="5"/>
    </row>
    <row r="104" spans="1: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5"/>
      <c r="N104" s="5"/>
      <c r="O104" s="5"/>
    </row>
    <row r="105" spans="1:15">
      <c r="A105" s="33" t="s">
        <v>34</v>
      </c>
      <c r="B105" s="32" t="s">
        <v>273</v>
      </c>
      <c r="C105" s="32"/>
      <c r="D105" s="32"/>
      <c r="E105" s="32"/>
      <c r="F105" s="32" t="s">
        <v>273</v>
      </c>
      <c r="G105" s="32"/>
      <c r="H105" s="32"/>
      <c r="I105" s="32"/>
      <c r="J105" s="32"/>
      <c r="K105" s="30">
        <v>2260</v>
      </c>
      <c r="L105" s="32" t="s">
        <v>274</v>
      </c>
      <c r="M105" s="5">
        <f>SUM(B105:K106)</f>
        <v>10017</v>
      </c>
      <c r="N105" s="5"/>
      <c r="O105" s="5"/>
    </row>
    <row r="106" spans="1:15">
      <c r="A106" s="30"/>
      <c r="B106" s="30">
        <v>6680</v>
      </c>
      <c r="C106" s="30"/>
      <c r="D106" s="30"/>
      <c r="E106" s="30"/>
      <c r="F106" s="30">
        <v>1077</v>
      </c>
      <c r="G106" s="30"/>
      <c r="H106" s="30"/>
      <c r="I106" s="30"/>
      <c r="J106" s="33"/>
      <c r="K106" s="30"/>
      <c r="L106" s="33"/>
      <c r="M106" s="5"/>
      <c r="N106" s="5"/>
      <c r="O106" s="5"/>
    </row>
    <row r="107" spans="1: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5"/>
      <c r="N107" s="5"/>
      <c r="O107" s="5"/>
    </row>
    <row r="108" spans="1:15">
      <c r="A108" s="14" t="s">
        <v>41</v>
      </c>
      <c r="B108" s="12" t="s">
        <v>42</v>
      </c>
      <c r="C108" s="12"/>
      <c r="D108" s="12"/>
      <c r="E108" s="12"/>
      <c r="F108" s="12"/>
      <c r="G108" s="12"/>
      <c r="H108" s="12"/>
      <c r="I108" s="12"/>
      <c r="J108" s="12"/>
      <c r="K108" s="13">
        <v>1874</v>
      </c>
      <c r="L108" s="12" t="s">
        <v>43</v>
      </c>
      <c r="M108" s="5">
        <f>SUM(B108:K109)</f>
        <v>9348</v>
      </c>
      <c r="N108" s="5"/>
      <c r="O108" s="5"/>
    </row>
    <row r="109" spans="1:15">
      <c r="A109" s="13"/>
      <c r="B109" s="13">
        <v>7474</v>
      </c>
      <c r="C109" s="13"/>
      <c r="D109" s="13"/>
      <c r="E109" s="13"/>
      <c r="F109" s="13"/>
      <c r="G109" s="13"/>
      <c r="H109" s="13"/>
      <c r="I109" s="13"/>
      <c r="J109" s="14"/>
      <c r="K109" s="13"/>
      <c r="L109" s="14"/>
      <c r="M109" s="5"/>
      <c r="N109" s="5"/>
      <c r="O109" s="5"/>
    </row>
    <row r="110" spans="1: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5"/>
      <c r="N110" s="5"/>
      <c r="O110" s="5"/>
    </row>
    <row r="111" spans="1:15">
      <c r="A111" s="33" t="s">
        <v>47</v>
      </c>
      <c r="B111" s="32" t="s">
        <v>300</v>
      </c>
      <c r="C111" s="32"/>
      <c r="D111" s="32"/>
      <c r="E111" s="32"/>
      <c r="F111" s="32" t="s">
        <v>300</v>
      </c>
      <c r="G111" s="32"/>
      <c r="H111" s="32"/>
      <c r="I111" s="32"/>
      <c r="J111" s="32"/>
      <c r="K111" s="30">
        <v>2616</v>
      </c>
      <c r="L111" s="32" t="s">
        <v>301</v>
      </c>
      <c r="M111" s="5">
        <f>SUM(B111:K112)</f>
        <v>13656</v>
      </c>
      <c r="N111" s="5"/>
      <c r="O111" s="5"/>
    </row>
    <row r="112" spans="1:15">
      <c r="A112" s="30"/>
      <c r="B112" s="30">
        <v>9203</v>
      </c>
      <c r="C112" s="30"/>
      <c r="D112" s="30"/>
      <c r="E112" s="30"/>
      <c r="F112" s="30">
        <v>1837</v>
      </c>
      <c r="G112" s="30"/>
      <c r="H112" s="30"/>
      <c r="I112" s="30"/>
      <c r="J112" s="30"/>
      <c r="K112" s="30"/>
      <c r="L112" s="33"/>
      <c r="M112" s="5"/>
      <c r="N112" s="5"/>
      <c r="O112" s="5"/>
    </row>
    <row r="113" spans="1: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5"/>
      <c r="N113" s="5"/>
      <c r="O113" s="5"/>
    </row>
    <row r="114" spans="1:15">
      <c r="A114" s="14" t="s">
        <v>53</v>
      </c>
      <c r="B114" s="12" t="s">
        <v>54</v>
      </c>
      <c r="C114" s="12"/>
      <c r="D114" s="12"/>
      <c r="E114" s="12"/>
      <c r="F114" s="12" t="s">
        <v>302</v>
      </c>
      <c r="G114" s="12"/>
      <c r="H114" s="12"/>
      <c r="I114" s="12" t="s">
        <v>719</v>
      </c>
      <c r="J114" s="15"/>
      <c r="K114" s="13">
        <v>1351</v>
      </c>
      <c r="L114" s="12" t="s">
        <v>55</v>
      </c>
      <c r="M114" s="5">
        <f>SUM(B114:K115)</f>
        <v>12479</v>
      </c>
      <c r="N114" s="5"/>
      <c r="O114" s="5"/>
    </row>
    <row r="115" spans="1:15">
      <c r="A115" s="13"/>
      <c r="B115" s="13">
        <v>8817</v>
      </c>
      <c r="C115" s="13"/>
      <c r="D115" s="13"/>
      <c r="E115" s="13"/>
      <c r="F115" s="13">
        <v>1519</v>
      </c>
      <c r="G115" s="13"/>
      <c r="H115" s="13"/>
      <c r="I115" s="13">
        <v>792</v>
      </c>
      <c r="J115" s="13"/>
      <c r="K115" s="13"/>
      <c r="L115" s="14"/>
      <c r="M115" s="5"/>
      <c r="N115" s="5"/>
      <c r="O115" s="5"/>
    </row>
    <row r="116" spans="1: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5"/>
      <c r="N116" s="5"/>
      <c r="O116" s="5"/>
    </row>
    <row r="117" spans="1:15">
      <c r="A117" s="33" t="s">
        <v>61</v>
      </c>
      <c r="B117" s="32" t="s">
        <v>231</v>
      </c>
      <c r="C117" s="32"/>
      <c r="D117" s="32"/>
      <c r="E117" s="32"/>
      <c r="F117" s="32"/>
      <c r="G117" s="32"/>
      <c r="H117" s="32"/>
      <c r="I117" s="32"/>
      <c r="J117" s="32"/>
      <c r="K117" s="30">
        <v>2283</v>
      </c>
      <c r="L117" s="32" t="s">
        <v>303</v>
      </c>
      <c r="M117" s="5">
        <f>SUM(B117:K118)</f>
        <v>8977</v>
      </c>
      <c r="N117" s="5"/>
      <c r="O117" s="5"/>
    </row>
    <row r="118" spans="1:15">
      <c r="A118" s="30"/>
      <c r="B118" s="30">
        <v>6694</v>
      </c>
      <c r="C118" s="30"/>
      <c r="D118" s="30"/>
      <c r="E118" s="30"/>
      <c r="F118" s="30"/>
      <c r="G118" s="30"/>
      <c r="H118" s="30"/>
      <c r="I118" s="30"/>
      <c r="J118" s="30"/>
      <c r="K118" s="30"/>
      <c r="L118" s="33"/>
      <c r="M118" s="5"/>
      <c r="N118" s="5"/>
      <c r="O118" s="5"/>
    </row>
    <row r="119" spans="1: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5"/>
      <c r="N119" s="5"/>
      <c r="O119" s="5"/>
    </row>
    <row r="120" spans="1:15">
      <c r="A120" s="14" t="s">
        <v>65</v>
      </c>
      <c r="B120" s="12" t="s">
        <v>304</v>
      </c>
      <c r="C120" s="12"/>
      <c r="D120" s="12"/>
      <c r="E120" s="12"/>
      <c r="F120" s="12" t="s">
        <v>304</v>
      </c>
      <c r="G120" s="12"/>
      <c r="H120" s="12"/>
      <c r="I120" s="12"/>
      <c r="J120" s="12"/>
      <c r="K120" s="13">
        <v>1509</v>
      </c>
      <c r="L120" s="12" t="s">
        <v>305</v>
      </c>
      <c r="M120" s="5">
        <f>SUM(B120:K121)</f>
        <v>7443</v>
      </c>
      <c r="N120" s="5"/>
      <c r="O120" s="5"/>
    </row>
    <row r="121" spans="1:15">
      <c r="A121" s="13"/>
      <c r="B121" s="13">
        <v>5251</v>
      </c>
      <c r="C121" s="13"/>
      <c r="D121" s="13"/>
      <c r="E121" s="13"/>
      <c r="F121" s="13">
        <v>683</v>
      </c>
      <c r="G121" s="13"/>
      <c r="H121" s="13"/>
      <c r="I121" s="13"/>
      <c r="J121" s="14"/>
      <c r="K121" s="13"/>
      <c r="L121" s="14"/>
      <c r="M121" s="5"/>
      <c r="N121" s="5"/>
      <c r="O121" s="5"/>
    </row>
    <row r="122" spans="1: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5"/>
      <c r="N122" s="5"/>
      <c r="O122" s="5"/>
    </row>
    <row r="123" spans="1:15">
      <c r="A123" s="33" t="s">
        <v>71</v>
      </c>
      <c r="B123" s="32" t="s">
        <v>343</v>
      </c>
      <c r="C123" s="32" t="s">
        <v>798</v>
      </c>
      <c r="D123" s="32" t="s">
        <v>343</v>
      </c>
      <c r="E123" s="32"/>
      <c r="F123" s="32" t="s">
        <v>343</v>
      </c>
      <c r="G123" s="32"/>
      <c r="H123" s="32"/>
      <c r="I123" s="32"/>
      <c r="J123" s="32"/>
      <c r="K123" s="30">
        <v>1007</v>
      </c>
      <c r="L123" s="32" t="s">
        <v>405</v>
      </c>
      <c r="M123" s="5">
        <f>SUM(B123:K124)</f>
        <v>10376</v>
      </c>
      <c r="N123" s="5"/>
      <c r="O123" s="5"/>
    </row>
    <row r="124" spans="1:15">
      <c r="A124" s="30"/>
      <c r="B124" s="30">
        <v>5816</v>
      </c>
      <c r="C124" s="30">
        <v>3077</v>
      </c>
      <c r="D124" s="30">
        <v>168</v>
      </c>
      <c r="E124" s="30"/>
      <c r="F124" s="30">
        <v>308</v>
      </c>
      <c r="G124" s="30"/>
      <c r="H124" s="30"/>
      <c r="I124" s="30"/>
      <c r="J124" s="33"/>
      <c r="K124" s="30"/>
      <c r="L124" s="33"/>
      <c r="M124" s="5"/>
      <c r="N124" s="5"/>
      <c r="O124" s="5"/>
    </row>
    <row r="125" spans="1: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5"/>
      <c r="N125" s="5"/>
      <c r="O125" s="5"/>
    </row>
    <row r="126" spans="1:15">
      <c r="A126" s="14" t="s">
        <v>75</v>
      </c>
      <c r="B126" s="12" t="s">
        <v>76</v>
      </c>
      <c r="C126" s="12"/>
      <c r="D126" s="12"/>
      <c r="E126" s="12" t="s">
        <v>799</v>
      </c>
      <c r="F126" s="12" t="s">
        <v>306</v>
      </c>
      <c r="G126" s="12"/>
      <c r="H126" s="12"/>
      <c r="I126" s="12"/>
      <c r="J126" s="12"/>
      <c r="K126" s="13">
        <v>1715</v>
      </c>
      <c r="L126" s="12" t="s">
        <v>77</v>
      </c>
      <c r="M126" s="5">
        <f>SUM(B126:K127)</f>
        <v>15544</v>
      </c>
      <c r="N126" s="5"/>
      <c r="O126" s="5"/>
    </row>
    <row r="127" spans="1:15">
      <c r="A127" s="13"/>
      <c r="B127" s="13">
        <v>10980</v>
      </c>
      <c r="C127" s="13"/>
      <c r="D127" s="13"/>
      <c r="E127" s="13">
        <v>1740</v>
      </c>
      <c r="F127" s="13">
        <v>1109</v>
      </c>
      <c r="G127" s="13"/>
      <c r="H127" s="13"/>
      <c r="I127" s="13"/>
      <c r="J127" s="13"/>
      <c r="K127" s="13"/>
      <c r="L127" s="14"/>
      <c r="M127" s="5"/>
      <c r="N127" s="5"/>
      <c r="O127" s="5"/>
    </row>
    <row r="128" spans="1: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5"/>
      <c r="N128" s="5"/>
      <c r="O128" s="5"/>
    </row>
    <row r="129" spans="1:15">
      <c r="A129" s="33" t="s">
        <v>82</v>
      </c>
      <c r="B129" s="32" t="s">
        <v>406</v>
      </c>
      <c r="C129" s="32" t="s">
        <v>407</v>
      </c>
      <c r="D129" s="32"/>
      <c r="E129" s="32" t="s">
        <v>800</v>
      </c>
      <c r="F129" s="32" t="s">
        <v>406</v>
      </c>
      <c r="G129" s="32"/>
      <c r="H129" s="32"/>
      <c r="I129" s="32"/>
      <c r="J129" s="32"/>
      <c r="K129" s="30">
        <v>1363</v>
      </c>
      <c r="L129" s="32" t="s">
        <v>408</v>
      </c>
      <c r="M129" s="5">
        <f>SUM(B129:K130)</f>
        <v>15452</v>
      </c>
      <c r="N129" s="5"/>
      <c r="O129" s="5"/>
    </row>
    <row r="130" spans="1:15">
      <c r="A130" s="30"/>
      <c r="B130" s="30">
        <v>11342</v>
      </c>
      <c r="C130" s="30">
        <v>837</v>
      </c>
      <c r="D130" s="30"/>
      <c r="E130" s="30">
        <v>536</v>
      </c>
      <c r="F130" s="30">
        <v>1374</v>
      </c>
      <c r="G130" s="30"/>
      <c r="H130" s="30"/>
      <c r="I130" s="30"/>
      <c r="J130" s="30"/>
      <c r="K130" s="30"/>
      <c r="L130" s="33"/>
      <c r="M130" s="5"/>
      <c r="N130" s="5"/>
      <c r="O130" s="5"/>
    </row>
    <row r="131" spans="1: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5"/>
      <c r="N131" s="5"/>
      <c r="O131" s="5"/>
    </row>
    <row r="132" spans="1:15">
      <c r="A132" s="14" t="s">
        <v>85</v>
      </c>
      <c r="B132" s="12" t="s">
        <v>801</v>
      </c>
      <c r="C132" s="12"/>
      <c r="D132" s="12"/>
      <c r="E132" s="12" t="s">
        <v>802</v>
      </c>
      <c r="F132" s="12" t="s">
        <v>801</v>
      </c>
      <c r="G132" s="12"/>
      <c r="H132" s="12"/>
      <c r="I132" s="12"/>
      <c r="J132" s="12"/>
      <c r="K132" s="13">
        <v>1256</v>
      </c>
      <c r="L132" s="12" t="s">
        <v>803</v>
      </c>
      <c r="M132" s="5">
        <f>SUM(B132:K133)</f>
        <v>17080</v>
      </c>
      <c r="N132" s="5"/>
      <c r="O132" s="5"/>
    </row>
    <row r="133" spans="1:15">
      <c r="A133" s="13"/>
      <c r="B133" s="13">
        <v>13631</v>
      </c>
      <c r="C133" s="13"/>
      <c r="D133" s="13"/>
      <c r="E133" s="13">
        <v>654</v>
      </c>
      <c r="F133" s="13">
        <v>1539</v>
      </c>
      <c r="G133" s="13"/>
      <c r="H133" s="13"/>
      <c r="I133" s="13"/>
      <c r="J133" s="13"/>
      <c r="K133" s="13"/>
      <c r="L133" s="14"/>
      <c r="M133" s="5"/>
      <c r="N133" s="5"/>
      <c r="O133" s="5"/>
    </row>
    <row r="134" spans="1: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5"/>
      <c r="N134" s="5"/>
      <c r="O134" s="5"/>
    </row>
    <row r="135" spans="1:15" ht="17.25">
      <c r="A135" s="14" t="s">
        <v>922</v>
      </c>
      <c r="B135" s="15"/>
      <c r="C135" s="15" t="s">
        <v>804</v>
      </c>
      <c r="D135" s="15" t="s">
        <v>805</v>
      </c>
      <c r="E135" s="15" t="s">
        <v>804</v>
      </c>
      <c r="F135" s="15" t="s">
        <v>449</v>
      </c>
      <c r="G135" s="15"/>
      <c r="H135" s="15"/>
      <c r="I135" s="15"/>
      <c r="J135" s="15" t="s">
        <v>806</v>
      </c>
      <c r="K135" s="15">
        <f>3+16+14</f>
        <v>33</v>
      </c>
      <c r="L135" s="15" t="s">
        <v>450</v>
      </c>
      <c r="M135" s="5">
        <f>SUM(B135:K136)</f>
        <v>8238</v>
      </c>
      <c r="N135" s="5"/>
      <c r="O135" s="5"/>
    </row>
    <row r="136" spans="1:15">
      <c r="A136" s="13"/>
      <c r="B136" s="13"/>
      <c r="C136" s="13">
        <v>1273</v>
      </c>
      <c r="D136" s="13">
        <v>2030</v>
      </c>
      <c r="E136" s="13">
        <v>418</v>
      </c>
      <c r="F136" s="13">
        <v>4176</v>
      </c>
      <c r="G136" s="13"/>
      <c r="H136" s="13"/>
      <c r="I136" s="13"/>
      <c r="J136" s="13">
        <v>308</v>
      </c>
      <c r="K136" s="13"/>
      <c r="L136" s="13"/>
      <c r="M136" s="5"/>
      <c r="N136" s="5"/>
      <c r="O136" s="5"/>
    </row>
    <row r="137" spans="1: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5"/>
      <c r="N137" s="5"/>
      <c r="O137" s="5"/>
    </row>
    <row r="138" spans="1:15">
      <c r="A138" s="33" t="s">
        <v>90</v>
      </c>
      <c r="B138" s="32" t="s">
        <v>807</v>
      </c>
      <c r="C138" s="32" t="s">
        <v>808</v>
      </c>
      <c r="D138" s="32"/>
      <c r="E138" s="32" t="s">
        <v>808</v>
      </c>
      <c r="F138" s="32" t="s">
        <v>809</v>
      </c>
      <c r="G138" s="32"/>
      <c r="H138" s="32"/>
      <c r="I138" s="32"/>
      <c r="J138" s="32"/>
      <c r="K138" s="30">
        <v>1677</v>
      </c>
      <c r="L138" s="32" t="s">
        <v>810</v>
      </c>
      <c r="M138" s="5">
        <f>SUM(B138:K139)</f>
        <v>19482</v>
      </c>
      <c r="N138" s="5"/>
      <c r="O138" s="5"/>
    </row>
    <row r="139" spans="1:15">
      <c r="A139" s="30"/>
      <c r="B139" s="30">
        <v>10704</v>
      </c>
      <c r="C139" s="30">
        <v>1672</v>
      </c>
      <c r="D139" s="30"/>
      <c r="E139" s="30">
        <v>956</v>
      </c>
      <c r="F139" s="30">
        <v>4473</v>
      </c>
      <c r="G139" s="30"/>
      <c r="H139" s="30"/>
      <c r="I139" s="30"/>
      <c r="J139" s="33"/>
      <c r="K139" s="30"/>
      <c r="L139" s="33"/>
      <c r="M139" s="5"/>
      <c r="N139" s="5"/>
      <c r="O139" s="5"/>
    </row>
    <row r="140" spans="1: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5"/>
      <c r="N140" s="5"/>
      <c r="O140" s="5"/>
    </row>
    <row r="141" spans="1:15">
      <c r="A141" s="14" t="s">
        <v>93</v>
      </c>
      <c r="B141" s="12" t="s">
        <v>188</v>
      </c>
      <c r="C141" s="12" t="s">
        <v>811</v>
      </c>
      <c r="D141" s="12" t="s">
        <v>188</v>
      </c>
      <c r="E141" s="12" t="s">
        <v>409</v>
      </c>
      <c r="F141" s="12" t="s">
        <v>188</v>
      </c>
      <c r="G141" s="12"/>
      <c r="H141" s="12"/>
      <c r="I141" s="12"/>
      <c r="J141" s="12"/>
      <c r="K141" s="13">
        <v>656</v>
      </c>
      <c r="L141" s="12" t="s">
        <v>199</v>
      </c>
      <c r="M141" s="5">
        <f>SUM(B141:K142)</f>
        <v>12473</v>
      </c>
      <c r="N141" s="5"/>
      <c r="O141" s="5"/>
    </row>
    <row r="142" spans="1:15">
      <c r="A142" s="13"/>
      <c r="B142" s="13">
        <v>5823</v>
      </c>
      <c r="C142" s="13">
        <v>4943</v>
      </c>
      <c r="D142" s="13">
        <v>248</v>
      </c>
      <c r="E142" s="13">
        <v>393</v>
      </c>
      <c r="F142" s="13">
        <v>410</v>
      </c>
      <c r="G142" s="13"/>
      <c r="H142" s="13"/>
      <c r="I142" s="13"/>
      <c r="J142" s="13"/>
      <c r="K142" s="13"/>
      <c r="L142" s="14"/>
      <c r="M142" s="5"/>
      <c r="N142" s="5"/>
      <c r="O142" s="5"/>
    </row>
    <row r="143" spans="1: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5"/>
      <c r="N143" s="5"/>
      <c r="O143" s="5"/>
    </row>
    <row r="144" spans="1:15">
      <c r="A144" s="33" t="s">
        <v>97</v>
      </c>
      <c r="B144" s="32" t="s">
        <v>812</v>
      </c>
      <c r="C144" s="32" t="s">
        <v>813</v>
      </c>
      <c r="D144" s="32" t="s">
        <v>812</v>
      </c>
      <c r="E144" s="32" t="s">
        <v>813</v>
      </c>
      <c r="F144" s="32" t="s">
        <v>812</v>
      </c>
      <c r="G144" s="32"/>
      <c r="H144" s="32"/>
      <c r="I144" s="32"/>
      <c r="J144" s="32"/>
      <c r="K144" s="30">
        <v>1551</v>
      </c>
      <c r="L144" s="32" t="s">
        <v>814</v>
      </c>
      <c r="M144" s="5">
        <f>SUM(B144:K145)</f>
        <v>16972</v>
      </c>
      <c r="N144" s="5"/>
      <c r="O144" s="5"/>
    </row>
    <row r="145" spans="1:15">
      <c r="A145" s="30"/>
      <c r="B145" s="30">
        <v>7861</v>
      </c>
      <c r="C145" s="30">
        <v>5149</v>
      </c>
      <c r="D145" s="30">
        <v>373</v>
      </c>
      <c r="E145" s="30">
        <v>1271</v>
      </c>
      <c r="F145" s="30">
        <v>767</v>
      </c>
      <c r="G145" s="30"/>
      <c r="H145" s="30"/>
      <c r="I145" s="30"/>
      <c r="J145" s="33"/>
      <c r="K145" s="30"/>
      <c r="L145" s="33"/>
      <c r="M145" s="5"/>
      <c r="N145" s="5"/>
      <c r="O145" s="5"/>
    </row>
    <row r="146" spans="1: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5"/>
      <c r="N146" s="5"/>
      <c r="O146" s="5"/>
    </row>
    <row r="147" spans="1:15">
      <c r="A147" s="14" t="s">
        <v>101</v>
      </c>
      <c r="B147" s="12" t="s">
        <v>200</v>
      </c>
      <c r="C147" s="12" t="s">
        <v>815</v>
      </c>
      <c r="D147" s="12"/>
      <c r="E147" s="12" t="s">
        <v>815</v>
      </c>
      <c r="F147" s="12" t="s">
        <v>200</v>
      </c>
      <c r="G147" s="12"/>
      <c r="H147" s="12"/>
      <c r="I147" s="12"/>
      <c r="J147" s="12"/>
      <c r="K147" s="13">
        <v>599</v>
      </c>
      <c r="L147" s="12" t="s">
        <v>102</v>
      </c>
      <c r="M147" s="5">
        <f>SUM(B147:K148)</f>
        <v>9687</v>
      </c>
      <c r="N147" s="5"/>
      <c r="O147" s="5"/>
    </row>
    <row r="148" spans="1:15">
      <c r="A148" s="13"/>
      <c r="B148" s="13">
        <v>5851</v>
      </c>
      <c r="C148" s="13">
        <v>2151</v>
      </c>
      <c r="D148" s="13"/>
      <c r="E148" s="14">
        <v>490</v>
      </c>
      <c r="F148" s="14">
        <v>596</v>
      </c>
      <c r="G148" s="14"/>
      <c r="H148" s="14"/>
      <c r="I148" s="14"/>
      <c r="J148" s="14"/>
      <c r="K148" s="13"/>
      <c r="L148" s="14"/>
      <c r="M148" s="5"/>
      <c r="N148" s="5"/>
      <c r="O148" s="5"/>
    </row>
    <row r="149" spans="1: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5"/>
      <c r="N149" s="5"/>
      <c r="O149" s="5"/>
    </row>
    <row r="150" spans="1:15">
      <c r="A150" s="33" t="s">
        <v>106</v>
      </c>
      <c r="B150" s="32" t="s">
        <v>107</v>
      </c>
      <c r="C150" s="32" t="s">
        <v>816</v>
      </c>
      <c r="D150" s="31"/>
      <c r="E150" s="32" t="s">
        <v>107</v>
      </c>
      <c r="F150" s="32"/>
      <c r="G150" s="32"/>
      <c r="H150" s="32"/>
      <c r="I150" s="32"/>
      <c r="J150" s="32" t="s">
        <v>817</v>
      </c>
      <c r="K150" s="30">
        <v>749</v>
      </c>
      <c r="L150" s="32" t="s">
        <v>108</v>
      </c>
      <c r="M150" s="5">
        <f>SUM(B150:K151)</f>
        <v>16450</v>
      </c>
      <c r="N150" s="5"/>
      <c r="O150" s="5"/>
    </row>
    <row r="151" spans="1:15">
      <c r="A151" s="30"/>
      <c r="B151" s="30">
        <v>9743</v>
      </c>
      <c r="C151" s="30">
        <v>3240</v>
      </c>
      <c r="D151" s="31"/>
      <c r="E151" s="30">
        <v>2574</v>
      </c>
      <c r="F151" s="30"/>
      <c r="G151" s="30"/>
      <c r="H151" s="30"/>
      <c r="I151" s="30"/>
      <c r="J151" s="33">
        <v>144</v>
      </c>
      <c r="K151" s="30"/>
      <c r="L151" s="33"/>
      <c r="M151" s="5"/>
      <c r="N151" s="5"/>
      <c r="O151" s="5"/>
    </row>
    <row r="152" spans="1: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5"/>
      <c r="N152" s="5"/>
      <c r="O152" s="5"/>
    </row>
    <row r="153" spans="1:15">
      <c r="A153" s="14" t="s">
        <v>112</v>
      </c>
      <c r="B153" s="12" t="s">
        <v>261</v>
      </c>
      <c r="C153" s="12" t="s">
        <v>307</v>
      </c>
      <c r="D153" s="12" t="s">
        <v>261</v>
      </c>
      <c r="E153" s="12" t="s">
        <v>307</v>
      </c>
      <c r="F153" s="12" t="s">
        <v>261</v>
      </c>
      <c r="G153" s="12"/>
      <c r="H153" s="12"/>
      <c r="I153" s="12"/>
      <c r="J153" s="12"/>
      <c r="K153" s="13">
        <v>435</v>
      </c>
      <c r="L153" s="12" t="s">
        <v>262</v>
      </c>
      <c r="M153" s="5">
        <f>SUM(B153:K154)</f>
        <v>6843</v>
      </c>
      <c r="N153" s="5"/>
      <c r="O153" s="5"/>
    </row>
    <row r="154" spans="1:15">
      <c r="A154" s="13"/>
      <c r="B154" s="13">
        <v>4305</v>
      </c>
      <c r="C154" s="13">
        <v>1190</v>
      </c>
      <c r="D154" s="13">
        <v>220</v>
      </c>
      <c r="E154" s="14">
        <v>346</v>
      </c>
      <c r="F154" s="14">
        <v>347</v>
      </c>
      <c r="G154" s="14"/>
      <c r="H154" s="14"/>
      <c r="I154" s="14"/>
      <c r="J154" s="14"/>
      <c r="K154" s="13"/>
      <c r="L154" s="14"/>
      <c r="M154" s="5"/>
      <c r="N154" s="5"/>
      <c r="O154" s="5"/>
    </row>
    <row r="155" spans="1: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5"/>
      <c r="N155" s="5"/>
      <c r="O155" s="5"/>
    </row>
    <row r="156" spans="1:15">
      <c r="A156" s="33" t="s">
        <v>116</v>
      </c>
      <c r="B156" s="32" t="s">
        <v>117</v>
      </c>
      <c r="C156" s="32" t="s">
        <v>818</v>
      </c>
      <c r="D156" s="31"/>
      <c r="E156" s="32"/>
      <c r="F156" s="32"/>
      <c r="G156" s="32"/>
      <c r="H156" s="32"/>
      <c r="I156" s="32"/>
      <c r="J156" s="32"/>
      <c r="K156" s="30">
        <v>1187</v>
      </c>
      <c r="L156" s="32" t="s">
        <v>118</v>
      </c>
      <c r="M156" s="5">
        <f>SUM(B156:K157)</f>
        <v>12065</v>
      </c>
      <c r="N156" s="5"/>
      <c r="O156" s="5"/>
    </row>
    <row r="157" spans="1:15">
      <c r="A157" s="30"/>
      <c r="B157" s="30">
        <v>9789</v>
      </c>
      <c r="C157" s="30">
        <v>1089</v>
      </c>
      <c r="D157" s="31"/>
      <c r="E157" s="30"/>
      <c r="F157" s="30"/>
      <c r="G157" s="30"/>
      <c r="H157" s="30"/>
      <c r="I157" s="30"/>
      <c r="J157" s="30"/>
      <c r="K157" s="30"/>
      <c r="L157" s="33"/>
      <c r="M157" s="5"/>
      <c r="N157" s="5"/>
      <c r="O157" s="5"/>
    </row>
    <row r="158" spans="1: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5"/>
      <c r="N158" s="5"/>
      <c r="O158" s="5"/>
    </row>
    <row r="159" spans="1:15">
      <c r="A159" s="14" t="s">
        <v>120</v>
      </c>
      <c r="B159" s="12" t="s">
        <v>121</v>
      </c>
      <c r="C159" s="5"/>
      <c r="D159" s="12"/>
      <c r="E159" s="12" t="s">
        <v>819</v>
      </c>
      <c r="F159" s="12"/>
      <c r="G159" s="12"/>
      <c r="H159" s="12"/>
      <c r="I159" s="12"/>
      <c r="J159" s="15"/>
      <c r="K159" s="13">
        <v>1221</v>
      </c>
      <c r="L159" s="12" t="s">
        <v>122</v>
      </c>
      <c r="M159" s="5">
        <f>SUM(B159:K160)</f>
        <v>10181</v>
      </c>
      <c r="N159" s="5"/>
      <c r="O159" s="5"/>
    </row>
    <row r="160" spans="1:15">
      <c r="A160" s="13"/>
      <c r="B160" s="13">
        <v>7887</v>
      </c>
      <c r="C160" s="5"/>
      <c r="D160" s="13"/>
      <c r="E160" s="13">
        <v>1073</v>
      </c>
      <c r="F160" s="13"/>
      <c r="G160" s="13"/>
      <c r="H160" s="13"/>
      <c r="I160" s="13"/>
      <c r="J160" s="13"/>
      <c r="K160" s="13"/>
      <c r="L160" s="14"/>
      <c r="M160" s="5"/>
      <c r="N160" s="5"/>
      <c r="O160" s="5"/>
    </row>
    <row r="161" spans="1: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5"/>
      <c r="N161" s="5"/>
      <c r="O161" s="5"/>
    </row>
    <row r="162" spans="1:15">
      <c r="A162" s="33" t="s">
        <v>134</v>
      </c>
      <c r="B162" s="32" t="s">
        <v>410</v>
      </c>
      <c r="C162" s="32" t="s">
        <v>820</v>
      </c>
      <c r="D162" s="32"/>
      <c r="E162" s="32" t="s">
        <v>820</v>
      </c>
      <c r="F162" s="32" t="s">
        <v>821</v>
      </c>
      <c r="G162" s="32"/>
      <c r="H162" s="32"/>
      <c r="I162" s="32"/>
      <c r="J162" s="32"/>
      <c r="K162" s="30">
        <v>1188</v>
      </c>
      <c r="L162" s="32" t="s">
        <v>411</v>
      </c>
      <c r="M162" s="5">
        <f>SUM(B162:K163)</f>
        <v>27599</v>
      </c>
      <c r="N162" s="5"/>
      <c r="O162" s="5"/>
    </row>
    <row r="163" spans="1:15">
      <c r="A163" s="30"/>
      <c r="B163" s="30">
        <v>18421</v>
      </c>
      <c r="C163" s="30">
        <v>1689</v>
      </c>
      <c r="D163" s="30"/>
      <c r="E163" s="30">
        <v>458</v>
      </c>
      <c r="F163" s="30">
        <v>5843</v>
      </c>
      <c r="G163" s="30"/>
      <c r="H163" s="30"/>
      <c r="I163" s="30"/>
      <c r="J163" s="30"/>
      <c r="K163" s="30"/>
      <c r="L163" s="33"/>
      <c r="M163" s="5"/>
      <c r="N163" s="5"/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>
      <c r="A165" s="14" t="s">
        <v>139</v>
      </c>
      <c r="B165" s="15" t="s">
        <v>394</v>
      </c>
      <c r="C165" s="15"/>
      <c r="D165" s="15"/>
      <c r="E165" s="15"/>
      <c r="F165" s="15"/>
      <c r="G165" s="15"/>
      <c r="H165" s="15"/>
      <c r="I165" s="15"/>
      <c r="J165" s="15"/>
      <c r="K165" s="15">
        <v>2255</v>
      </c>
      <c r="L165" s="15" t="s">
        <v>395</v>
      </c>
      <c r="M165" s="5">
        <f>SUM(B165:K166)</f>
        <v>11961</v>
      </c>
      <c r="N165" s="5"/>
      <c r="O165" s="5"/>
    </row>
    <row r="166" spans="1:15">
      <c r="A166" s="13"/>
      <c r="B166" s="13">
        <v>9706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5"/>
      <c r="N166" s="5"/>
      <c r="O166" s="5"/>
    </row>
    <row r="167" spans="1: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5"/>
      <c r="N167" s="5"/>
      <c r="O167" s="5"/>
    </row>
    <row r="168" spans="1:15">
      <c r="A168" s="33" t="s">
        <v>142</v>
      </c>
      <c r="B168" s="32" t="s">
        <v>412</v>
      </c>
      <c r="C168" s="32" t="s">
        <v>224</v>
      </c>
      <c r="D168" s="31"/>
      <c r="E168" s="32" t="s">
        <v>224</v>
      </c>
      <c r="F168" s="32" t="s">
        <v>822</v>
      </c>
      <c r="G168" s="32"/>
      <c r="H168" s="32"/>
      <c r="I168" s="32"/>
      <c r="J168" s="32"/>
      <c r="K168" s="30">
        <v>794</v>
      </c>
      <c r="L168" s="32" t="s">
        <v>413</v>
      </c>
      <c r="M168" s="5">
        <f>SUM(B168:K169)</f>
        <v>9548</v>
      </c>
      <c r="N168" s="5"/>
      <c r="O168" s="5"/>
    </row>
    <row r="169" spans="1:15">
      <c r="A169" s="30"/>
      <c r="B169" s="30">
        <v>7514</v>
      </c>
      <c r="C169" s="30">
        <v>289</v>
      </c>
      <c r="D169" s="31"/>
      <c r="E169" s="30">
        <v>92</v>
      </c>
      <c r="F169" s="30">
        <v>859</v>
      </c>
      <c r="G169" s="30"/>
      <c r="H169" s="30"/>
      <c r="I169" s="30"/>
      <c r="J169" s="33"/>
      <c r="K169" s="30"/>
      <c r="L169" s="33"/>
      <c r="M169" s="5"/>
      <c r="N169" s="5"/>
      <c r="O169" s="5"/>
    </row>
    <row r="170" spans="1: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5"/>
      <c r="N170" s="5"/>
      <c r="O170" s="5"/>
    </row>
    <row r="171" spans="1:15">
      <c r="A171" s="14" t="s">
        <v>145</v>
      </c>
      <c r="B171" s="12" t="s">
        <v>414</v>
      </c>
      <c r="C171" s="12" t="s">
        <v>415</v>
      </c>
      <c r="D171" s="12"/>
      <c r="E171" s="12" t="s">
        <v>823</v>
      </c>
      <c r="F171" s="12"/>
      <c r="G171" s="12"/>
      <c r="H171" s="12"/>
      <c r="I171" s="12"/>
      <c r="J171" s="12"/>
      <c r="K171" s="13">
        <v>1166</v>
      </c>
      <c r="L171" s="12" t="s">
        <v>824</v>
      </c>
      <c r="M171" s="5">
        <f>SUM(B171:K172)</f>
        <v>12675</v>
      </c>
      <c r="N171" s="5"/>
      <c r="O171" s="5"/>
    </row>
    <row r="172" spans="1:15">
      <c r="A172" s="13"/>
      <c r="B172" s="13">
        <v>10640</v>
      </c>
      <c r="C172" s="13">
        <v>272</v>
      </c>
      <c r="D172" s="13"/>
      <c r="E172" s="13">
        <v>597</v>
      </c>
      <c r="F172" s="13"/>
      <c r="G172" s="13"/>
      <c r="H172" s="13"/>
      <c r="I172" s="13"/>
      <c r="J172" s="14"/>
      <c r="K172" s="13"/>
      <c r="L172" s="14"/>
      <c r="M172" s="5"/>
      <c r="N172" s="5"/>
      <c r="O172" s="5"/>
    </row>
    <row r="173" spans="1: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5"/>
      <c r="N173" s="5"/>
      <c r="O173" s="5"/>
    </row>
    <row r="174" spans="1:15">
      <c r="A174" s="33" t="s">
        <v>150</v>
      </c>
      <c r="B174" s="32" t="s">
        <v>825</v>
      </c>
      <c r="C174" s="32" t="s">
        <v>826</v>
      </c>
      <c r="D174" s="32"/>
      <c r="E174" s="32"/>
      <c r="F174" s="32"/>
      <c r="G174" s="32"/>
      <c r="H174" s="32"/>
      <c r="I174" s="32"/>
      <c r="J174" s="32"/>
      <c r="K174" s="30">
        <v>1281</v>
      </c>
      <c r="L174" s="32" t="s">
        <v>827</v>
      </c>
      <c r="M174" s="5">
        <f>SUM(B174:K175)</f>
        <v>16235</v>
      </c>
      <c r="N174" s="5"/>
      <c r="O174" s="5"/>
    </row>
    <row r="175" spans="1:15">
      <c r="A175" s="30"/>
      <c r="B175" s="30">
        <v>14648</v>
      </c>
      <c r="C175" s="30">
        <v>306</v>
      </c>
      <c r="D175" s="30"/>
      <c r="E175" s="30"/>
      <c r="F175" s="30"/>
      <c r="G175" s="30"/>
      <c r="H175" s="30"/>
      <c r="I175" s="30"/>
      <c r="J175" s="30"/>
      <c r="K175" s="30"/>
      <c r="L175" s="33"/>
      <c r="M175" s="5"/>
      <c r="N175" s="5"/>
      <c r="O175" s="5"/>
    </row>
    <row r="176" spans="1: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5"/>
      <c r="N176" s="5"/>
      <c r="O176" s="5"/>
    </row>
    <row r="177" spans="1:15">
      <c r="A177" s="14" t="s">
        <v>154</v>
      </c>
      <c r="B177" s="12" t="s">
        <v>344</v>
      </c>
      <c r="C177" s="12"/>
      <c r="D177" s="12"/>
      <c r="E177" s="12"/>
      <c r="F177" s="12"/>
      <c r="G177" s="12"/>
      <c r="H177" s="12"/>
      <c r="I177" s="12"/>
      <c r="J177" s="12"/>
      <c r="K177" s="13">
        <v>2919</v>
      </c>
      <c r="L177" s="12" t="s">
        <v>345</v>
      </c>
      <c r="M177" s="5">
        <f>SUM(B177:K178)</f>
        <v>22865</v>
      </c>
      <c r="N177" s="5"/>
      <c r="O177" s="5"/>
    </row>
    <row r="178" spans="1:15">
      <c r="A178" s="13"/>
      <c r="B178" s="13">
        <v>19946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5"/>
      <c r="N178" s="5"/>
      <c r="O178" s="5"/>
    </row>
    <row r="179" spans="1: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5"/>
      <c r="N179" s="5"/>
      <c r="O179" s="5"/>
    </row>
    <row r="180" spans="1:15">
      <c r="A180" s="33" t="s">
        <v>158</v>
      </c>
      <c r="B180" s="32" t="s">
        <v>159</v>
      </c>
      <c r="C180" s="32"/>
      <c r="D180" s="32"/>
      <c r="E180" s="32"/>
      <c r="F180" s="32"/>
      <c r="G180" s="32"/>
      <c r="H180" s="32"/>
      <c r="I180" s="32"/>
      <c r="J180" s="32"/>
      <c r="K180" s="30">
        <v>1577</v>
      </c>
      <c r="L180" s="32" t="s">
        <v>160</v>
      </c>
      <c r="M180" s="5">
        <f>SUM(B180:K181)</f>
        <v>17364</v>
      </c>
      <c r="N180" s="5"/>
      <c r="O180" s="5"/>
    </row>
    <row r="181" spans="1:15">
      <c r="A181" s="30"/>
      <c r="B181" s="30">
        <v>15787</v>
      </c>
      <c r="C181" s="30"/>
      <c r="D181" s="30"/>
      <c r="E181" s="30"/>
      <c r="F181" s="30"/>
      <c r="G181" s="30"/>
      <c r="H181" s="30"/>
      <c r="I181" s="30"/>
      <c r="J181" s="30"/>
      <c r="K181" s="30"/>
      <c r="L181" s="33"/>
      <c r="M181" s="5"/>
      <c r="N181" s="5"/>
      <c r="O181" s="5"/>
    </row>
    <row r="182" spans="1: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5"/>
      <c r="N182" s="5"/>
      <c r="O182" s="5"/>
    </row>
    <row r="183" spans="1:15">
      <c r="A183" s="14" t="s">
        <v>166</v>
      </c>
      <c r="B183" s="12" t="s">
        <v>828</v>
      </c>
      <c r="C183" s="12" t="s">
        <v>416</v>
      </c>
      <c r="D183" s="12"/>
      <c r="E183" s="12" t="s">
        <v>416</v>
      </c>
      <c r="F183" s="12"/>
      <c r="G183" s="12"/>
      <c r="H183" s="12"/>
      <c r="I183" s="12"/>
      <c r="J183" s="5"/>
      <c r="K183" s="13">
        <v>1734</v>
      </c>
      <c r="L183" s="12" t="s">
        <v>829</v>
      </c>
      <c r="M183" s="5">
        <f>SUM(B183:K184)</f>
        <v>17208</v>
      </c>
      <c r="N183" s="5"/>
      <c r="O183" s="5"/>
    </row>
    <row r="184" spans="1:15">
      <c r="A184" s="13"/>
      <c r="B184" s="13">
        <v>11395</v>
      </c>
      <c r="C184" s="13">
        <v>2789</v>
      </c>
      <c r="D184" s="13"/>
      <c r="E184" s="13">
        <v>1290</v>
      </c>
      <c r="F184" s="13"/>
      <c r="G184" s="13"/>
      <c r="H184" s="13"/>
      <c r="I184" s="13"/>
      <c r="J184" s="5"/>
      <c r="K184" s="13"/>
      <c r="L184" s="14"/>
      <c r="M184" s="5"/>
      <c r="N184" s="5"/>
      <c r="O184" s="5"/>
    </row>
    <row r="185" spans="1: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5"/>
      <c r="N185" s="5"/>
      <c r="O185" s="5"/>
    </row>
    <row r="186" spans="1:15">
      <c r="A186" s="33" t="s">
        <v>170</v>
      </c>
      <c r="B186" s="32" t="s">
        <v>275</v>
      </c>
      <c r="C186" s="32" t="s">
        <v>830</v>
      </c>
      <c r="D186" s="32"/>
      <c r="E186" s="32" t="s">
        <v>830</v>
      </c>
      <c r="F186" s="32"/>
      <c r="G186" s="32"/>
      <c r="H186" s="32"/>
      <c r="I186" s="32"/>
      <c r="J186" s="32"/>
      <c r="K186" s="30">
        <v>1407</v>
      </c>
      <c r="L186" s="29" t="s">
        <v>417</v>
      </c>
      <c r="M186" s="17">
        <f>SUM(B186:K187)</f>
        <v>15499</v>
      </c>
      <c r="N186" s="5"/>
      <c r="O186" s="5"/>
    </row>
    <row r="187" spans="1:15">
      <c r="A187" s="30"/>
      <c r="B187" s="30">
        <v>13270</v>
      </c>
      <c r="C187" s="30">
        <v>566</v>
      </c>
      <c r="D187" s="30"/>
      <c r="E187" s="30">
        <v>256</v>
      </c>
      <c r="F187" s="30"/>
      <c r="G187" s="30"/>
      <c r="H187" s="30"/>
      <c r="I187" s="30"/>
      <c r="J187" s="30"/>
      <c r="K187" s="30"/>
      <c r="L187" s="30"/>
      <c r="M187" s="5"/>
      <c r="N187" s="5"/>
      <c r="O187" s="5"/>
    </row>
    <row r="188" spans="1: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>
      <c r="A189" s="5" t="s">
        <v>5</v>
      </c>
      <c r="B189" s="15" t="s">
        <v>272</v>
      </c>
      <c r="C189" s="15"/>
      <c r="D189" s="15" t="s">
        <v>272</v>
      </c>
      <c r="E189" s="15"/>
      <c r="F189" s="15" t="s">
        <v>272</v>
      </c>
      <c r="G189" s="15"/>
      <c r="H189" s="15"/>
      <c r="I189" s="15"/>
      <c r="J189" s="15"/>
      <c r="K189" s="15">
        <v>3989</v>
      </c>
      <c r="L189" s="10" t="s">
        <v>276</v>
      </c>
      <c r="M189" s="5">
        <f>SUM(B189:K190)</f>
        <v>20418</v>
      </c>
      <c r="N189" s="5"/>
      <c r="O189" s="5"/>
    </row>
    <row r="190" spans="1:15">
      <c r="A190" s="5"/>
      <c r="B190" s="13">
        <v>13633</v>
      </c>
      <c r="C190" s="13"/>
      <c r="D190" s="13">
        <v>1408</v>
      </c>
      <c r="E190" s="13"/>
      <c r="F190" s="13">
        <v>1388</v>
      </c>
      <c r="G190" s="13"/>
      <c r="H190" s="13"/>
      <c r="I190" s="13"/>
      <c r="J190" s="13"/>
      <c r="K190" s="13"/>
      <c r="L190" s="5"/>
      <c r="M190" s="5"/>
      <c r="N190" s="5"/>
      <c r="O190" s="5"/>
    </row>
    <row r="191" spans="1: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>
      <c r="A192" s="33" t="s">
        <v>8</v>
      </c>
      <c r="B192" s="29"/>
      <c r="C192" s="29" t="s">
        <v>831</v>
      </c>
      <c r="D192" s="29" t="s">
        <v>831</v>
      </c>
      <c r="E192" s="29" t="s">
        <v>831</v>
      </c>
      <c r="F192" s="29"/>
      <c r="G192" s="29"/>
      <c r="H192" s="29"/>
      <c r="I192" s="29"/>
      <c r="J192" s="29"/>
      <c r="K192" s="29">
        <v>3300</v>
      </c>
      <c r="L192" s="29" t="s">
        <v>832</v>
      </c>
      <c r="M192" s="5">
        <f>SUM(B192:K193)</f>
        <v>23228</v>
      </c>
      <c r="N192" s="5"/>
      <c r="O192" s="5"/>
    </row>
    <row r="193" spans="1:15">
      <c r="A193" s="30"/>
      <c r="B193" s="30"/>
      <c r="C193" s="30">
        <v>15914</v>
      </c>
      <c r="D193" s="30">
        <v>1608</v>
      </c>
      <c r="E193" s="30">
        <v>2406</v>
      </c>
      <c r="F193" s="30"/>
      <c r="G193" s="30"/>
      <c r="H193" s="30"/>
      <c r="I193" s="30"/>
      <c r="J193" s="30"/>
      <c r="K193" s="30"/>
      <c r="L193" s="30"/>
      <c r="M193" s="5"/>
      <c r="N193" s="5"/>
      <c r="O193" s="5"/>
    </row>
    <row r="194" spans="1: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5"/>
      <c r="N194" s="5"/>
      <c r="O194" s="5"/>
    </row>
    <row r="195" spans="1:15">
      <c r="A195" s="14" t="s">
        <v>14</v>
      </c>
      <c r="B195" s="12" t="s">
        <v>225</v>
      </c>
      <c r="C195" s="12" t="s">
        <v>418</v>
      </c>
      <c r="D195" s="12" t="s">
        <v>225</v>
      </c>
      <c r="E195" s="12" t="s">
        <v>418</v>
      </c>
      <c r="F195" s="12"/>
      <c r="G195" s="12"/>
      <c r="H195" s="12"/>
      <c r="I195" s="12"/>
      <c r="J195" s="12"/>
      <c r="K195" s="13">
        <v>650</v>
      </c>
      <c r="L195" s="12" t="s">
        <v>226</v>
      </c>
      <c r="M195" s="5">
        <f>SUM(B195:K196)</f>
        <v>21195</v>
      </c>
      <c r="N195" s="5"/>
      <c r="O195" s="5"/>
    </row>
    <row r="196" spans="1:15">
      <c r="A196" s="13"/>
      <c r="B196" s="13">
        <v>10963</v>
      </c>
      <c r="C196" s="13">
        <v>7219</v>
      </c>
      <c r="D196" s="13">
        <v>1076</v>
      </c>
      <c r="E196" s="13">
        <v>1287</v>
      </c>
      <c r="F196" s="13"/>
      <c r="G196" s="13"/>
      <c r="H196" s="13"/>
      <c r="I196" s="13"/>
      <c r="J196" s="13"/>
      <c r="K196" s="13"/>
      <c r="L196" s="14"/>
      <c r="M196" s="5"/>
      <c r="N196" s="5"/>
      <c r="O196" s="5"/>
    </row>
    <row r="197" spans="1: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5"/>
      <c r="N197" s="5"/>
      <c r="O197" s="5"/>
    </row>
    <row r="198" spans="1:15">
      <c r="A198" s="33" t="s">
        <v>23</v>
      </c>
      <c r="B198" s="32" t="s">
        <v>833</v>
      </c>
      <c r="C198" s="32" t="s">
        <v>308</v>
      </c>
      <c r="D198" s="32" t="s">
        <v>308</v>
      </c>
      <c r="E198" s="32" t="s">
        <v>308</v>
      </c>
      <c r="F198" s="32" t="s">
        <v>833</v>
      </c>
      <c r="G198" s="32"/>
      <c r="H198" s="32"/>
      <c r="I198" s="32"/>
      <c r="J198" s="32"/>
      <c r="K198" s="30">
        <v>628</v>
      </c>
      <c r="L198" s="32" t="s">
        <v>309</v>
      </c>
      <c r="M198" s="5">
        <f>SUM(B198:K199)</f>
        <v>21147</v>
      </c>
      <c r="N198" s="5"/>
      <c r="O198" s="5"/>
    </row>
    <row r="199" spans="1:15">
      <c r="A199" s="30"/>
      <c r="B199" s="30">
        <v>4788</v>
      </c>
      <c r="C199" s="30">
        <v>12112</v>
      </c>
      <c r="D199" s="30">
        <v>1032</v>
      </c>
      <c r="E199" s="30">
        <v>1907</v>
      </c>
      <c r="F199" s="30">
        <v>680</v>
      </c>
      <c r="G199" s="30"/>
      <c r="H199" s="30"/>
      <c r="I199" s="30"/>
      <c r="J199" s="33"/>
      <c r="K199" s="30"/>
      <c r="L199" s="33"/>
      <c r="M199" s="5"/>
      <c r="N199" s="5"/>
      <c r="O199" s="5"/>
    </row>
    <row r="200" spans="1: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5"/>
      <c r="N200" s="5"/>
      <c r="O200" s="5"/>
    </row>
    <row r="201" spans="1:15">
      <c r="A201" s="14" t="s">
        <v>29</v>
      </c>
      <c r="B201" s="15" t="s">
        <v>834</v>
      </c>
      <c r="C201" s="15" t="s">
        <v>835</v>
      </c>
      <c r="D201" s="15"/>
      <c r="E201" s="15"/>
      <c r="F201" s="15" t="s">
        <v>834</v>
      </c>
      <c r="G201" s="15"/>
      <c r="H201" s="15"/>
      <c r="I201" s="15"/>
      <c r="J201" s="15"/>
      <c r="K201" s="15">
        <v>1185</v>
      </c>
      <c r="L201" s="15" t="s">
        <v>836</v>
      </c>
      <c r="M201" s="5">
        <f>SUM(B201:K202)</f>
        <v>15082</v>
      </c>
      <c r="N201" s="5"/>
      <c r="O201" s="5"/>
    </row>
    <row r="202" spans="1:15">
      <c r="A202" s="13"/>
      <c r="B202" s="13">
        <v>9978</v>
      </c>
      <c r="C202" s="13">
        <v>2442</v>
      </c>
      <c r="D202" s="13"/>
      <c r="E202" s="13"/>
      <c r="F202" s="13">
        <v>1477</v>
      </c>
      <c r="G202" s="13"/>
      <c r="H202" s="13"/>
      <c r="I202" s="13"/>
      <c r="J202" s="13"/>
      <c r="K202" s="13"/>
      <c r="L202" s="13"/>
      <c r="M202" s="5"/>
      <c r="N202" s="5"/>
      <c r="O202" s="5"/>
    </row>
    <row r="203" spans="1: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5"/>
      <c r="N203" s="5"/>
      <c r="O203" s="5"/>
    </row>
    <row r="204" spans="1:15">
      <c r="A204" s="33" t="s">
        <v>36</v>
      </c>
      <c r="B204" s="32" t="s">
        <v>37</v>
      </c>
      <c r="C204" s="32" t="s">
        <v>837</v>
      </c>
      <c r="D204" s="32"/>
      <c r="E204" s="32"/>
      <c r="F204" s="32"/>
      <c r="G204" s="32"/>
      <c r="H204" s="32"/>
      <c r="I204" s="32"/>
      <c r="J204" s="32" t="s">
        <v>838</v>
      </c>
      <c r="K204" s="30">
        <v>1469</v>
      </c>
      <c r="L204" s="32" t="s">
        <v>38</v>
      </c>
      <c r="M204" s="5">
        <f>SUM(B204:K205)</f>
        <v>22558</v>
      </c>
      <c r="N204" s="5"/>
      <c r="O204" s="5"/>
    </row>
    <row r="205" spans="1:15">
      <c r="A205" s="30"/>
      <c r="B205" s="30">
        <v>16817</v>
      </c>
      <c r="C205" s="30">
        <v>2727</v>
      </c>
      <c r="D205" s="30"/>
      <c r="E205" s="30"/>
      <c r="F205" s="30"/>
      <c r="G205" s="30"/>
      <c r="H205" s="30"/>
      <c r="I205" s="30"/>
      <c r="J205" s="33">
        <v>1545</v>
      </c>
      <c r="K205" s="30"/>
      <c r="L205" s="30"/>
      <c r="M205" s="5"/>
      <c r="N205" s="5"/>
      <c r="O205" s="5"/>
    </row>
    <row r="206" spans="1: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5"/>
      <c r="N206" s="5"/>
      <c r="O206" s="5"/>
    </row>
    <row r="207" spans="1:15">
      <c r="A207" s="14" t="s">
        <v>46</v>
      </c>
      <c r="B207" s="12" t="s">
        <v>263</v>
      </c>
      <c r="C207" s="12"/>
      <c r="D207" s="12"/>
      <c r="E207" s="12"/>
      <c r="F207" s="12" t="s">
        <v>263</v>
      </c>
      <c r="G207" s="12"/>
      <c r="H207" s="12"/>
      <c r="I207" s="12"/>
      <c r="J207" s="12"/>
      <c r="K207" s="13">
        <v>4135</v>
      </c>
      <c r="L207" s="12" t="s">
        <v>264</v>
      </c>
      <c r="M207" s="5">
        <f>SUM(B207:K208)</f>
        <v>27711</v>
      </c>
      <c r="N207" s="5"/>
      <c r="O207" s="5"/>
    </row>
    <row r="208" spans="1:15">
      <c r="A208" s="13"/>
      <c r="B208" s="13">
        <v>19768</v>
      </c>
      <c r="C208" s="13"/>
      <c r="D208" s="13"/>
      <c r="E208" s="13"/>
      <c r="F208" s="13">
        <v>3808</v>
      </c>
      <c r="G208" s="13"/>
      <c r="H208" s="13"/>
      <c r="I208" s="13"/>
      <c r="J208" s="14"/>
      <c r="K208" s="13"/>
      <c r="L208" s="14"/>
      <c r="M208" s="5"/>
      <c r="N208" s="5"/>
      <c r="O208" s="5"/>
    </row>
    <row r="209" spans="1: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5"/>
      <c r="N209" s="5"/>
      <c r="O209" s="5"/>
    </row>
    <row r="210" spans="1:15">
      <c r="A210" s="33" t="s">
        <v>51</v>
      </c>
      <c r="B210" s="29" t="s">
        <v>310</v>
      </c>
      <c r="C210" s="29" t="s">
        <v>552</v>
      </c>
      <c r="D210" s="29"/>
      <c r="E210" s="29"/>
      <c r="F210" s="29" t="s">
        <v>310</v>
      </c>
      <c r="G210" s="29"/>
      <c r="H210" s="29"/>
      <c r="I210" s="29"/>
      <c r="J210" s="29"/>
      <c r="K210" s="30">
        <v>1650</v>
      </c>
      <c r="L210" s="29" t="s">
        <v>311</v>
      </c>
      <c r="M210" s="5">
        <f>SUM(B210:K211)</f>
        <v>16474</v>
      </c>
      <c r="N210" s="5"/>
      <c r="O210" s="5"/>
    </row>
    <row r="211" spans="1:15">
      <c r="A211" s="30"/>
      <c r="B211" s="30">
        <v>12414</v>
      </c>
      <c r="C211" s="30">
        <v>1292</v>
      </c>
      <c r="D211" s="30"/>
      <c r="E211" s="30"/>
      <c r="F211" s="30">
        <v>1118</v>
      </c>
      <c r="G211" s="30"/>
      <c r="H211" s="30"/>
      <c r="I211" s="30"/>
      <c r="J211" s="30"/>
      <c r="K211" s="30"/>
      <c r="L211" s="30"/>
      <c r="M211" s="5"/>
      <c r="N211" s="5"/>
      <c r="O211" s="5"/>
    </row>
    <row r="212" spans="1: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5"/>
      <c r="N212" s="5"/>
      <c r="O212" s="5"/>
    </row>
    <row r="213" spans="1:15">
      <c r="A213" s="14" t="s">
        <v>58</v>
      </c>
      <c r="B213" s="12" t="s">
        <v>227</v>
      </c>
      <c r="C213" s="12"/>
      <c r="D213" s="12"/>
      <c r="E213" s="12"/>
      <c r="F213" s="12"/>
      <c r="G213" s="12"/>
      <c r="H213" s="12"/>
      <c r="I213" s="12"/>
      <c r="J213" s="15"/>
      <c r="K213" s="13">
        <v>5738</v>
      </c>
      <c r="L213" s="12" t="s">
        <v>228</v>
      </c>
      <c r="M213" s="5">
        <f>SUM(B213:K214)</f>
        <v>27829</v>
      </c>
      <c r="N213" s="5"/>
      <c r="O213" s="5"/>
    </row>
    <row r="214" spans="1:15">
      <c r="A214" s="13"/>
      <c r="B214" s="13">
        <v>22091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4"/>
      <c r="M214" s="5"/>
      <c r="N214" s="5"/>
      <c r="O214" s="5"/>
    </row>
    <row r="215" spans="1: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5"/>
      <c r="N215" s="5"/>
      <c r="O215" s="5"/>
    </row>
    <row r="216" spans="1:15">
      <c r="A216" s="33" t="s">
        <v>62</v>
      </c>
      <c r="B216" s="32" t="s">
        <v>839</v>
      </c>
      <c r="C216" s="32" t="s">
        <v>840</v>
      </c>
      <c r="D216" s="32"/>
      <c r="E216" s="32"/>
      <c r="F216" s="32" t="s">
        <v>312</v>
      </c>
      <c r="G216" s="32"/>
      <c r="H216" s="32"/>
      <c r="I216" s="32"/>
      <c r="J216" s="32"/>
      <c r="K216" s="30">
        <v>1743</v>
      </c>
      <c r="L216" s="32" t="s">
        <v>841</v>
      </c>
      <c r="M216" s="5">
        <f>SUM(B216:K217)</f>
        <v>20604</v>
      </c>
      <c r="N216" s="5"/>
      <c r="O216" s="5"/>
    </row>
    <row r="217" spans="1:15">
      <c r="A217" s="30"/>
      <c r="B217" s="30">
        <v>16313</v>
      </c>
      <c r="C217" s="30">
        <v>700</v>
      </c>
      <c r="D217" s="30"/>
      <c r="E217" s="30"/>
      <c r="F217" s="30">
        <v>1848</v>
      </c>
      <c r="G217" s="30"/>
      <c r="H217" s="30"/>
      <c r="I217" s="30"/>
      <c r="J217" s="33"/>
      <c r="K217" s="30"/>
      <c r="L217" s="33"/>
      <c r="M217" s="5"/>
      <c r="N217" s="5"/>
      <c r="O217" s="5"/>
    </row>
    <row r="218" spans="1: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5"/>
      <c r="N218" s="5"/>
      <c r="O218" s="5"/>
    </row>
    <row r="219" spans="1:15">
      <c r="A219" s="14" t="s">
        <v>67</v>
      </c>
      <c r="B219" s="12" t="s">
        <v>68</v>
      </c>
      <c r="C219" s="12" t="s">
        <v>419</v>
      </c>
      <c r="D219" s="12"/>
      <c r="E219" s="12"/>
      <c r="F219" s="12"/>
      <c r="G219" s="12"/>
      <c r="H219" s="12"/>
      <c r="I219" s="12"/>
      <c r="J219" s="12"/>
      <c r="K219" s="13">
        <v>2955</v>
      </c>
      <c r="L219" s="12" t="s">
        <v>69</v>
      </c>
      <c r="M219" s="5">
        <f>SUM(B219:K220)</f>
        <v>20260</v>
      </c>
      <c r="N219" s="5"/>
      <c r="O219" s="5"/>
    </row>
    <row r="220" spans="1:15">
      <c r="A220" s="13"/>
      <c r="B220" s="13">
        <v>16174</v>
      </c>
      <c r="C220" s="13">
        <v>1131</v>
      </c>
      <c r="D220" s="13"/>
      <c r="E220" s="13"/>
      <c r="F220" s="13"/>
      <c r="G220" s="13"/>
      <c r="H220" s="13"/>
      <c r="I220" s="13"/>
      <c r="J220" s="13"/>
      <c r="K220" s="13"/>
      <c r="L220" s="14"/>
      <c r="M220" s="5"/>
      <c r="N220" s="5"/>
      <c r="O220" s="5"/>
    </row>
    <row r="221" spans="1: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5"/>
      <c r="N221" s="5"/>
      <c r="O221" s="5"/>
    </row>
    <row r="222" spans="1:15">
      <c r="A222" s="33" t="s">
        <v>72</v>
      </c>
      <c r="B222" s="32" t="s">
        <v>842</v>
      </c>
      <c r="C222" s="32" t="s">
        <v>843</v>
      </c>
      <c r="D222" s="32"/>
      <c r="E222" s="32"/>
      <c r="F222" s="32"/>
      <c r="G222" s="32"/>
      <c r="H222" s="32"/>
      <c r="I222" s="32"/>
      <c r="J222" s="32"/>
      <c r="K222" s="30">
        <v>2803</v>
      </c>
      <c r="L222" s="32" t="s">
        <v>844</v>
      </c>
      <c r="M222" s="5">
        <f>SUM(B222:K223)</f>
        <v>16178</v>
      </c>
      <c r="N222" s="5"/>
      <c r="O222" s="5"/>
    </row>
    <row r="223" spans="1:15">
      <c r="A223" s="30"/>
      <c r="B223" s="30">
        <v>12226</v>
      </c>
      <c r="C223" s="30">
        <v>1149</v>
      </c>
      <c r="D223" s="30"/>
      <c r="E223" s="30"/>
      <c r="F223" s="30"/>
      <c r="G223" s="30"/>
      <c r="H223" s="30"/>
      <c r="I223" s="30"/>
      <c r="J223" s="30"/>
      <c r="K223" s="30"/>
      <c r="L223" s="33"/>
      <c r="M223" s="5"/>
      <c r="N223" s="5"/>
      <c r="O223" s="5"/>
    </row>
    <row r="224" spans="1: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5"/>
      <c r="N224" s="5"/>
      <c r="O224" s="5"/>
    </row>
    <row r="225" spans="1:15">
      <c r="A225" s="14" t="s">
        <v>79</v>
      </c>
      <c r="B225" s="12" t="s">
        <v>346</v>
      </c>
      <c r="C225" s="12" t="s">
        <v>845</v>
      </c>
      <c r="D225" s="12" t="s">
        <v>845</v>
      </c>
      <c r="E225" s="12"/>
      <c r="F225" s="12" t="s">
        <v>346</v>
      </c>
      <c r="G225" s="12"/>
      <c r="H225" s="12" t="s">
        <v>593</v>
      </c>
      <c r="I225" s="12"/>
      <c r="J225" s="12"/>
      <c r="K225" s="13">
        <v>1273</v>
      </c>
      <c r="L225" s="12" t="s">
        <v>347</v>
      </c>
      <c r="M225" s="5">
        <f>SUM(B225:K226)</f>
        <v>25852</v>
      </c>
      <c r="N225" s="5"/>
      <c r="O225" s="5"/>
    </row>
    <row r="226" spans="1:15">
      <c r="A226" s="13"/>
      <c r="B226" s="13">
        <v>15135</v>
      </c>
      <c r="C226" s="13">
        <v>7179</v>
      </c>
      <c r="D226" s="13">
        <v>328</v>
      </c>
      <c r="E226" s="13"/>
      <c r="F226" s="13">
        <v>1483</v>
      </c>
      <c r="G226" s="13"/>
      <c r="H226" s="13">
        <v>454</v>
      </c>
      <c r="I226" s="13"/>
      <c r="J226" s="13"/>
      <c r="K226" s="13"/>
      <c r="L226" s="14"/>
      <c r="M226" s="5"/>
      <c r="N226" s="5"/>
      <c r="O226" s="5"/>
    </row>
    <row r="227" spans="1: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5"/>
      <c r="N227" s="5"/>
      <c r="O227" s="5"/>
    </row>
    <row r="228" spans="1:15">
      <c r="A228" s="33" t="s">
        <v>87</v>
      </c>
      <c r="B228" s="32" t="s">
        <v>266</v>
      </c>
      <c r="C228" s="32" t="s">
        <v>672</v>
      </c>
      <c r="D228" s="32"/>
      <c r="E228" s="32"/>
      <c r="F228" s="32" t="s">
        <v>266</v>
      </c>
      <c r="G228" s="32"/>
      <c r="H228" s="32"/>
      <c r="I228" s="32"/>
      <c r="J228" s="29"/>
      <c r="K228" s="30">
        <v>1566</v>
      </c>
      <c r="L228" s="32" t="s">
        <v>265</v>
      </c>
      <c r="M228" s="5">
        <f>SUM(B228:K229)</f>
        <v>21420</v>
      </c>
      <c r="N228" s="5"/>
      <c r="O228" s="5"/>
    </row>
    <row r="229" spans="1:15">
      <c r="A229" s="30"/>
      <c r="B229" s="30">
        <v>13946</v>
      </c>
      <c r="C229" s="30">
        <v>2973</v>
      </c>
      <c r="D229" s="30"/>
      <c r="E229" s="30"/>
      <c r="F229" s="30">
        <v>2935</v>
      </c>
      <c r="G229" s="30"/>
      <c r="H229" s="30"/>
      <c r="I229" s="30"/>
      <c r="J229" s="30"/>
      <c r="K229" s="30"/>
      <c r="L229" s="30"/>
      <c r="M229" s="5"/>
      <c r="N229" s="5"/>
      <c r="O229" s="5"/>
    </row>
    <row r="230" spans="1: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5"/>
      <c r="N230" s="5"/>
      <c r="O230" s="5"/>
    </row>
    <row r="231" spans="1:15">
      <c r="A231" s="14" t="s">
        <v>92</v>
      </c>
      <c r="B231" s="12" t="s">
        <v>201</v>
      </c>
      <c r="C231" s="12" t="s">
        <v>846</v>
      </c>
      <c r="D231" s="12"/>
      <c r="E231" s="12"/>
      <c r="F231" s="12" t="s">
        <v>201</v>
      </c>
      <c r="G231" s="12"/>
      <c r="H231" s="12"/>
      <c r="I231" s="12"/>
      <c r="J231" s="12"/>
      <c r="K231" s="13">
        <v>1237</v>
      </c>
      <c r="L231" s="12" t="s">
        <v>24</v>
      </c>
      <c r="M231" s="5">
        <f>SUM(B231:K232)</f>
        <v>22572</v>
      </c>
      <c r="N231" s="5"/>
      <c r="O231" s="5"/>
    </row>
    <row r="232" spans="1:15">
      <c r="A232" s="13"/>
      <c r="B232" s="13">
        <v>14902</v>
      </c>
      <c r="C232" s="13">
        <v>2964</v>
      </c>
      <c r="D232" s="13"/>
      <c r="E232" s="13"/>
      <c r="F232" s="13">
        <v>3469</v>
      </c>
      <c r="G232" s="13"/>
      <c r="H232" s="13"/>
      <c r="I232" s="13"/>
      <c r="J232" s="12"/>
      <c r="K232" s="13"/>
      <c r="L232" s="13"/>
      <c r="M232" s="5"/>
      <c r="N232" s="5"/>
      <c r="O232" s="5"/>
    </row>
    <row r="233" spans="1: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5"/>
      <c r="N233" s="5"/>
      <c r="O233" s="5"/>
    </row>
    <row r="234" spans="1:15">
      <c r="A234" s="33" t="s">
        <v>95</v>
      </c>
      <c r="B234" s="32" t="s">
        <v>420</v>
      </c>
      <c r="C234" s="32" t="s">
        <v>847</v>
      </c>
      <c r="D234" s="32" t="s">
        <v>847</v>
      </c>
      <c r="E234" s="32"/>
      <c r="F234" s="32" t="s">
        <v>420</v>
      </c>
      <c r="G234" s="32"/>
      <c r="H234" s="32"/>
      <c r="I234" s="32"/>
      <c r="J234" s="32" t="s">
        <v>848</v>
      </c>
      <c r="K234" s="30">
        <v>810</v>
      </c>
      <c r="L234" s="32" t="s">
        <v>421</v>
      </c>
      <c r="M234" s="5">
        <f>SUM(B234:K235)</f>
        <v>24272</v>
      </c>
      <c r="N234" s="5"/>
      <c r="O234" s="5"/>
    </row>
    <row r="235" spans="1:15">
      <c r="A235" s="30"/>
      <c r="B235" s="29">
        <v>14017</v>
      </c>
      <c r="C235" s="29">
        <v>6819</v>
      </c>
      <c r="D235" s="29">
        <v>585</v>
      </c>
      <c r="E235" s="29"/>
      <c r="F235" s="29">
        <v>1686</v>
      </c>
      <c r="G235" s="29"/>
      <c r="H235" s="29"/>
      <c r="I235" s="29"/>
      <c r="J235" s="30">
        <v>355</v>
      </c>
      <c r="K235" s="30"/>
      <c r="L235" s="33"/>
      <c r="M235" s="5"/>
      <c r="N235" s="5"/>
      <c r="O235" s="5"/>
    </row>
    <row r="236" spans="1: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5"/>
      <c r="N236" s="5"/>
      <c r="O236" s="5"/>
    </row>
    <row r="237" spans="1:15">
      <c r="A237" s="14" t="s">
        <v>98</v>
      </c>
      <c r="B237" s="12" t="s">
        <v>422</v>
      </c>
      <c r="C237" s="15" t="s">
        <v>849</v>
      </c>
      <c r="D237" s="12"/>
      <c r="E237" s="12" t="s">
        <v>423</v>
      </c>
      <c r="F237" s="12" t="s">
        <v>422</v>
      </c>
      <c r="G237" s="12"/>
      <c r="H237" s="12"/>
      <c r="I237" s="12"/>
      <c r="J237" s="12"/>
      <c r="K237" s="13">
        <v>799</v>
      </c>
      <c r="L237" s="12" t="s">
        <v>424</v>
      </c>
      <c r="M237" s="5">
        <f>SUM(B237:K238)</f>
        <v>11329</v>
      </c>
      <c r="N237" s="5"/>
      <c r="O237" s="5"/>
    </row>
    <row r="238" spans="1:15">
      <c r="A238" s="13"/>
      <c r="B238" s="15">
        <v>9719</v>
      </c>
      <c r="C238" s="15">
        <v>421</v>
      </c>
      <c r="D238" s="15"/>
      <c r="E238" s="13">
        <v>81</v>
      </c>
      <c r="F238" s="13">
        <v>309</v>
      </c>
      <c r="G238" s="13"/>
      <c r="H238" s="13"/>
      <c r="I238" s="13"/>
      <c r="J238" s="14"/>
      <c r="K238" s="13"/>
      <c r="L238" s="14"/>
      <c r="M238" s="5"/>
      <c r="N238" s="5"/>
      <c r="O238" s="5"/>
    </row>
    <row r="239" spans="1: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5"/>
      <c r="N239" s="5"/>
      <c r="O239" s="5"/>
    </row>
    <row r="240" spans="1:15">
      <c r="A240" s="33" t="s">
        <v>103</v>
      </c>
      <c r="B240" s="32" t="s">
        <v>203</v>
      </c>
      <c r="C240" s="32" t="s">
        <v>850</v>
      </c>
      <c r="D240" s="32" t="s">
        <v>850</v>
      </c>
      <c r="E240" s="32"/>
      <c r="F240" s="32"/>
      <c r="G240" s="32"/>
      <c r="H240" s="32"/>
      <c r="I240" s="32"/>
      <c r="J240" s="32"/>
      <c r="K240" s="30">
        <v>715</v>
      </c>
      <c r="L240" s="32" t="s">
        <v>202</v>
      </c>
      <c r="M240" s="5">
        <f>SUM(B240:K241)</f>
        <v>8508</v>
      </c>
      <c r="N240" s="5"/>
      <c r="O240" s="5"/>
    </row>
    <row r="241" spans="1:15">
      <c r="A241" s="30"/>
      <c r="B241" s="29">
        <v>6965</v>
      </c>
      <c r="C241" s="29">
        <v>664</v>
      </c>
      <c r="D241" s="29">
        <v>164</v>
      </c>
      <c r="E241" s="29"/>
      <c r="F241" s="29"/>
      <c r="G241" s="29"/>
      <c r="H241" s="29"/>
      <c r="I241" s="29"/>
      <c r="J241" s="33"/>
      <c r="K241" s="30"/>
      <c r="L241" s="30"/>
      <c r="M241" s="5"/>
      <c r="N241" s="5"/>
      <c r="O241" s="5"/>
    </row>
    <row r="242" spans="1: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>
      <c r="A243" s="14" t="s">
        <v>109</v>
      </c>
      <c r="B243" s="12" t="s">
        <v>425</v>
      </c>
      <c r="C243" s="12" t="s">
        <v>348</v>
      </c>
      <c r="D243" s="12"/>
      <c r="E243" s="12" t="s">
        <v>348</v>
      </c>
      <c r="F243" s="12" t="s">
        <v>426</v>
      </c>
      <c r="G243" s="12"/>
      <c r="H243" s="12"/>
      <c r="I243" s="12"/>
      <c r="J243" s="15"/>
      <c r="K243" s="13">
        <v>1116</v>
      </c>
      <c r="L243" s="12" t="s">
        <v>427</v>
      </c>
      <c r="M243" s="13">
        <f>SUM(B243:K244)</f>
        <v>11838</v>
      </c>
      <c r="N243" s="5"/>
      <c r="O243" s="5"/>
    </row>
    <row r="244" spans="1:15">
      <c r="A244" s="13"/>
      <c r="B244" s="15">
        <v>9835</v>
      </c>
      <c r="C244" s="15">
        <v>294</v>
      </c>
      <c r="D244" s="15"/>
      <c r="E244" s="15">
        <v>78</v>
      </c>
      <c r="F244" s="15">
        <v>515</v>
      </c>
      <c r="G244" s="15"/>
      <c r="H244" s="15"/>
      <c r="I244" s="15"/>
      <c r="J244" s="13"/>
      <c r="K244" s="13"/>
      <c r="L244" s="13"/>
      <c r="M244" s="13"/>
      <c r="N244" s="5"/>
      <c r="O244" s="5"/>
    </row>
    <row r="245" spans="1: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5"/>
      <c r="O245" s="5"/>
    </row>
    <row r="246" spans="1:15">
      <c r="A246" s="33" t="s">
        <v>113</v>
      </c>
      <c r="B246" s="32" t="s">
        <v>349</v>
      </c>
      <c r="C246" s="32" t="s">
        <v>428</v>
      </c>
      <c r="D246" s="32"/>
      <c r="E246" s="32" t="s">
        <v>428</v>
      </c>
      <c r="F246" s="32"/>
      <c r="G246" s="32"/>
      <c r="H246" s="32"/>
      <c r="I246" s="32"/>
      <c r="J246" s="29"/>
      <c r="K246" s="30">
        <v>916</v>
      </c>
      <c r="L246" s="32" t="s">
        <v>351</v>
      </c>
      <c r="M246" s="13">
        <f>SUM(B246:K247)</f>
        <v>12624</v>
      </c>
      <c r="N246" s="5"/>
      <c r="O246" s="5"/>
    </row>
    <row r="247" spans="1:15">
      <c r="A247" s="30"/>
      <c r="B247" s="29">
        <v>9816</v>
      </c>
      <c r="C247" s="29">
        <v>1496</v>
      </c>
      <c r="D247" s="30"/>
      <c r="E247" s="29">
        <v>396</v>
      </c>
      <c r="F247" s="29"/>
      <c r="G247" s="29"/>
      <c r="H247" s="29"/>
      <c r="I247" s="29"/>
      <c r="J247" s="30"/>
      <c r="K247" s="30"/>
      <c r="L247" s="30"/>
      <c r="M247" s="13"/>
      <c r="N247" s="5"/>
      <c r="O247" s="5"/>
    </row>
    <row r="248" spans="1: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5"/>
      <c r="O248" s="5"/>
    </row>
    <row r="249" spans="1:15">
      <c r="A249" s="14" t="s">
        <v>124</v>
      </c>
      <c r="B249" s="12" t="s">
        <v>125</v>
      </c>
      <c r="C249" s="12"/>
      <c r="D249" s="12"/>
      <c r="E249" s="12" t="s">
        <v>429</v>
      </c>
      <c r="F249" s="12" t="s">
        <v>313</v>
      </c>
      <c r="G249" s="12"/>
      <c r="H249" s="12"/>
      <c r="I249" s="12"/>
      <c r="J249" s="12"/>
      <c r="K249" s="13">
        <v>2177</v>
      </c>
      <c r="L249" s="12" t="s">
        <v>126</v>
      </c>
      <c r="M249" s="13">
        <f>SUM(B249:K250)</f>
        <v>19105</v>
      </c>
      <c r="N249" s="5"/>
      <c r="O249" s="5"/>
    </row>
    <row r="250" spans="1:15">
      <c r="A250" s="13"/>
      <c r="B250" s="15">
        <v>13713</v>
      </c>
      <c r="C250" s="15"/>
      <c r="D250" s="15"/>
      <c r="E250" s="15">
        <v>1543</v>
      </c>
      <c r="F250" s="15">
        <v>1672</v>
      </c>
      <c r="G250" s="15"/>
      <c r="H250" s="15"/>
      <c r="I250" s="15"/>
      <c r="J250" s="15"/>
      <c r="K250" s="13"/>
      <c r="L250" s="13"/>
      <c r="M250" s="13"/>
      <c r="N250" s="5"/>
      <c r="O250" s="5"/>
    </row>
    <row r="251" spans="1: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5"/>
      <c r="O251" s="5"/>
    </row>
    <row r="252" spans="1:15">
      <c r="A252" s="33" t="s">
        <v>130</v>
      </c>
      <c r="B252" s="32" t="s">
        <v>246</v>
      </c>
      <c r="C252" s="32" t="s">
        <v>851</v>
      </c>
      <c r="D252" s="29"/>
      <c r="E252" s="32" t="s">
        <v>352</v>
      </c>
      <c r="F252" s="32"/>
      <c r="G252" s="32"/>
      <c r="H252" s="32"/>
      <c r="I252" s="32"/>
      <c r="J252" s="29"/>
      <c r="K252" s="30">
        <v>989</v>
      </c>
      <c r="L252" s="32" t="s">
        <v>247</v>
      </c>
      <c r="M252" s="13">
        <f>SUM(B252:K253)</f>
        <v>19488</v>
      </c>
      <c r="N252" s="5"/>
      <c r="O252" s="5"/>
    </row>
    <row r="253" spans="1:15">
      <c r="A253" s="30"/>
      <c r="B253" s="29">
        <v>15214</v>
      </c>
      <c r="C253" s="29">
        <v>2417</v>
      </c>
      <c r="D253" s="30"/>
      <c r="E253" s="29">
        <v>868</v>
      </c>
      <c r="F253" s="29"/>
      <c r="G253" s="29"/>
      <c r="H253" s="29"/>
      <c r="I253" s="29"/>
      <c r="J253" s="29"/>
      <c r="K253" s="30"/>
      <c r="L253" s="30"/>
      <c r="M253" s="13"/>
      <c r="N253" s="5"/>
      <c r="O253" s="5"/>
    </row>
    <row r="254" spans="1: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5"/>
      <c r="O254" s="5"/>
    </row>
    <row r="255" spans="1:15">
      <c r="A255" s="14" t="s">
        <v>136</v>
      </c>
      <c r="B255" s="12" t="s">
        <v>204</v>
      </c>
      <c r="C255" s="12" t="s">
        <v>852</v>
      </c>
      <c r="D255" s="15"/>
      <c r="E255" s="12" t="s">
        <v>852</v>
      </c>
      <c r="F255" s="12"/>
      <c r="G255" s="12"/>
      <c r="H255" s="12"/>
      <c r="I255" s="12"/>
      <c r="J255" s="15"/>
      <c r="K255" s="13">
        <v>633</v>
      </c>
      <c r="L255" s="12" t="s">
        <v>205</v>
      </c>
      <c r="M255" s="13">
        <f>SUM(B255:K256)</f>
        <v>15213</v>
      </c>
      <c r="N255" s="5"/>
      <c r="O255" s="5"/>
    </row>
    <row r="256" spans="1:15">
      <c r="A256" s="13"/>
      <c r="B256" s="15">
        <v>14040</v>
      </c>
      <c r="C256" s="15">
        <v>409</v>
      </c>
      <c r="D256" s="15"/>
      <c r="E256" s="15">
        <v>131</v>
      </c>
      <c r="F256" s="15"/>
      <c r="G256" s="15"/>
      <c r="H256" s="15"/>
      <c r="I256" s="15"/>
      <c r="J256" s="15"/>
      <c r="K256" s="13"/>
      <c r="L256" s="13"/>
      <c r="M256" s="13"/>
      <c r="N256" s="5"/>
      <c r="O256" s="5"/>
    </row>
    <row r="257" spans="1: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5"/>
      <c r="O257" s="5"/>
    </row>
    <row r="258" spans="1:15">
      <c r="A258" s="33" t="s">
        <v>140</v>
      </c>
      <c r="B258" s="29" t="s">
        <v>229</v>
      </c>
      <c r="C258" s="32" t="s">
        <v>853</v>
      </c>
      <c r="D258" s="29"/>
      <c r="E258" s="32" t="s">
        <v>854</v>
      </c>
      <c r="F258" s="32"/>
      <c r="G258" s="32"/>
      <c r="H258" s="32"/>
      <c r="I258" s="32"/>
      <c r="J258" s="29"/>
      <c r="K258" s="30">
        <v>925</v>
      </c>
      <c r="L258" s="32" t="s">
        <v>88</v>
      </c>
      <c r="M258" s="13">
        <f>SUM(B258:K259)</f>
        <v>10526</v>
      </c>
      <c r="N258" s="5"/>
      <c r="O258" s="5"/>
    </row>
    <row r="259" spans="1:15">
      <c r="A259" s="30"/>
      <c r="B259" s="29">
        <v>8775</v>
      </c>
      <c r="C259" s="29">
        <v>691</v>
      </c>
      <c r="D259" s="30"/>
      <c r="E259" s="30">
        <v>135</v>
      </c>
      <c r="F259" s="30"/>
      <c r="G259" s="30"/>
      <c r="H259" s="30"/>
      <c r="I259" s="30"/>
      <c r="J259" s="29"/>
      <c r="K259" s="30"/>
      <c r="L259" s="30"/>
      <c r="M259" s="13"/>
      <c r="N259" s="5"/>
      <c r="O259" s="5"/>
    </row>
    <row r="260" spans="1: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5"/>
      <c r="O260" s="5"/>
    </row>
    <row r="261" spans="1:15">
      <c r="A261" s="14" t="s">
        <v>144</v>
      </c>
      <c r="B261" s="15" t="s">
        <v>281</v>
      </c>
      <c r="C261" s="12" t="s">
        <v>353</v>
      </c>
      <c r="D261" s="15"/>
      <c r="E261" s="12" t="s">
        <v>430</v>
      </c>
      <c r="F261" s="12"/>
      <c r="G261" s="12"/>
      <c r="H261" s="12" t="s">
        <v>596</v>
      </c>
      <c r="I261" s="12"/>
      <c r="J261" s="15"/>
      <c r="K261" s="13">
        <v>885</v>
      </c>
      <c r="L261" s="12" t="s">
        <v>314</v>
      </c>
      <c r="M261" s="13">
        <f>SUM(B261:K262)</f>
        <v>10921</v>
      </c>
      <c r="N261" s="5"/>
      <c r="O261" s="5"/>
    </row>
    <row r="262" spans="1:15">
      <c r="A262" s="13"/>
      <c r="B262" s="15">
        <v>9408</v>
      </c>
      <c r="C262" s="13">
        <v>357</v>
      </c>
      <c r="D262" s="15"/>
      <c r="E262" s="13">
        <v>180</v>
      </c>
      <c r="F262" s="13"/>
      <c r="G262" s="13"/>
      <c r="H262" s="13">
        <v>91</v>
      </c>
      <c r="I262" s="13"/>
      <c r="J262" s="13"/>
      <c r="K262" s="13"/>
      <c r="L262" s="13"/>
      <c r="M262" s="13"/>
      <c r="N262" s="5"/>
      <c r="O262" s="5"/>
    </row>
    <row r="263" spans="1: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5"/>
      <c r="O263" s="5"/>
    </row>
    <row r="264" spans="1:15">
      <c r="A264" s="33" t="s">
        <v>148</v>
      </c>
      <c r="B264" s="29" t="s">
        <v>396</v>
      </c>
      <c r="C264" s="29" t="s">
        <v>855</v>
      </c>
      <c r="D264" s="29"/>
      <c r="E264" s="29" t="s">
        <v>431</v>
      </c>
      <c r="F264" s="29" t="s">
        <v>396</v>
      </c>
      <c r="G264" s="29"/>
      <c r="H264" s="29"/>
      <c r="I264" s="29"/>
      <c r="J264" s="29"/>
      <c r="K264" s="29">
        <v>795</v>
      </c>
      <c r="L264" s="29" t="s">
        <v>432</v>
      </c>
      <c r="M264" s="13">
        <f>SUM(B264:K265)</f>
        <v>9053</v>
      </c>
      <c r="N264" s="5"/>
      <c r="O264" s="5"/>
    </row>
    <row r="265" spans="1:15">
      <c r="A265" s="30"/>
      <c r="B265" s="30">
        <v>7596</v>
      </c>
      <c r="C265" s="30">
        <v>315</v>
      </c>
      <c r="D265" s="30"/>
      <c r="E265" s="30">
        <v>90</v>
      </c>
      <c r="F265" s="30">
        <v>257</v>
      </c>
      <c r="G265" s="30"/>
      <c r="H265" s="30"/>
      <c r="I265" s="30"/>
      <c r="J265" s="30"/>
      <c r="K265" s="30"/>
      <c r="L265" s="30"/>
      <c r="M265" s="13"/>
      <c r="N265" s="5"/>
      <c r="O265" s="5"/>
    </row>
    <row r="266" spans="1: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5"/>
      <c r="O266" s="5"/>
    </row>
    <row r="267" spans="1:15">
      <c r="A267" s="14" t="s">
        <v>153</v>
      </c>
      <c r="B267" s="15" t="s">
        <v>354</v>
      </c>
      <c r="C267" s="12" t="s">
        <v>355</v>
      </c>
      <c r="D267" s="12"/>
      <c r="E267" s="15" t="s">
        <v>355</v>
      </c>
      <c r="F267" s="15" t="s">
        <v>354</v>
      </c>
      <c r="G267" s="15"/>
      <c r="H267" s="15"/>
      <c r="I267" s="15"/>
      <c r="J267" s="15"/>
      <c r="K267" s="15">
        <v>735</v>
      </c>
      <c r="L267" s="12" t="s">
        <v>356</v>
      </c>
      <c r="M267" s="13">
        <f>SUM(B267:K268)</f>
        <v>12622</v>
      </c>
      <c r="N267" s="5"/>
      <c r="O267" s="5"/>
    </row>
    <row r="268" spans="1:15">
      <c r="A268" s="13"/>
      <c r="B268" s="15">
        <v>10623</v>
      </c>
      <c r="C268" s="15">
        <v>617</v>
      </c>
      <c r="D268" s="15"/>
      <c r="E268" s="13">
        <v>175</v>
      </c>
      <c r="F268" s="13">
        <v>472</v>
      </c>
      <c r="G268" s="13"/>
      <c r="H268" s="13"/>
      <c r="I268" s="13"/>
      <c r="J268" s="13"/>
      <c r="K268" s="13"/>
      <c r="L268" s="13"/>
      <c r="M268" s="13"/>
      <c r="N268" s="5"/>
      <c r="O268" s="5"/>
    </row>
    <row r="269" spans="1: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5"/>
      <c r="O269" s="5"/>
    </row>
    <row r="270" spans="1:15">
      <c r="A270" s="33" t="s">
        <v>161</v>
      </c>
      <c r="B270" s="29" t="s">
        <v>206</v>
      </c>
      <c r="C270" s="32"/>
      <c r="D270" s="32"/>
      <c r="E270" s="29"/>
      <c r="F270" s="29" t="s">
        <v>206</v>
      </c>
      <c r="G270" s="29"/>
      <c r="H270" s="29"/>
      <c r="I270" s="29"/>
      <c r="J270" s="29"/>
      <c r="K270" s="29">
        <v>12674</v>
      </c>
      <c r="L270" s="32" t="s">
        <v>207</v>
      </c>
      <c r="M270" s="13">
        <f>SUM(B270:K271)</f>
        <v>36087</v>
      </c>
      <c r="N270" s="5"/>
      <c r="O270" s="5"/>
    </row>
    <row r="271" spans="1:15">
      <c r="A271" s="30"/>
      <c r="B271" s="29">
        <v>20498</v>
      </c>
      <c r="C271" s="29"/>
      <c r="D271" s="29"/>
      <c r="E271" s="30"/>
      <c r="F271" s="30">
        <v>2915</v>
      </c>
      <c r="G271" s="30"/>
      <c r="H271" s="30"/>
      <c r="I271" s="30"/>
      <c r="J271" s="30"/>
      <c r="K271" s="30"/>
      <c r="L271" s="30"/>
      <c r="M271" s="13"/>
      <c r="N271" s="5"/>
      <c r="O271" s="5"/>
    </row>
    <row r="272" spans="1: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5"/>
      <c r="O272" s="5"/>
    </row>
    <row r="273" spans="1:15">
      <c r="A273" s="14" t="s">
        <v>167</v>
      </c>
      <c r="B273" s="15" t="s">
        <v>189</v>
      </c>
      <c r="C273" s="15"/>
      <c r="D273" s="15" t="s">
        <v>189</v>
      </c>
      <c r="E273" s="15"/>
      <c r="F273" s="15"/>
      <c r="G273" s="15"/>
      <c r="H273" s="15"/>
      <c r="I273" s="15"/>
      <c r="J273" s="15"/>
      <c r="K273" s="15">
        <v>4802</v>
      </c>
      <c r="L273" s="12" t="s">
        <v>433</v>
      </c>
      <c r="M273" s="13">
        <f>SUM(B273:K274)</f>
        <v>20541</v>
      </c>
      <c r="N273" s="5"/>
      <c r="O273" s="5"/>
    </row>
    <row r="274" spans="1:15">
      <c r="A274" s="13"/>
      <c r="B274" s="15">
        <v>14854</v>
      </c>
      <c r="C274" s="15"/>
      <c r="D274" s="13">
        <v>885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5"/>
      <c r="O274" s="5"/>
    </row>
    <row r="275" spans="1: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5"/>
      <c r="O275" s="5"/>
    </row>
    <row r="276" spans="1:15">
      <c r="A276" s="33" t="s">
        <v>172</v>
      </c>
      <c r="B276" s="29" t="s">
        <v>357</v>
      </c>
      <c r="C276" s="32"/>
      <c r="D276" s="29" t="s">
        <v>357</v>
      </c>
      <c r="E276" s="29"/>
      <c r="F276" s="29" t="s">
        <v>357</v>
      </c>
      <c r="G276" s="29"/>
      <c r="H276" s="29"/>
      <c r="I276" s="29"/>
      <c r="J276" s="29"/>
      <c r="K276" s="30">
        <v>10184</v>
      </c>
      <c r="L276" s="32" t="s">
        <v>358</v>
      </c>
      <c r="M276" s="13">
        <f>SUM(B276:K277)</f>
        <v>25804</v>
      </c>
      <c r="N276" s="5"/>
      <c r="O276" s="5"/>
    </row>
    <row r="277" spans="1:15">
      <c r="A277" s="30"/>
      <c r="B277" s="29">
        <v>12965</v>
      </c>
      <c r="C277" s="29"/>
      <c r="D277" s="30">
        <v>1052</v>
      </c>
      <c r="E277" s="30"/>
      <c r="F277" s="30">
        <v>1603</v>
      </c>
      <c r="G277" s="30"/>
      <c r="H277" s="30"/>
      <c r="I277" s="30"/>
      <c r="J277" s="30"/>
      <c r="K277" s="30"/>
      <c r="L277" s="30"/>
      <c r="M277" s="13"/>
      <c r="N277" s="5"/>
      <c r="O277" s="5"/>
    </row>
    <row r="278" spans="1: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5"/>
      <c r="O278" s="5"/>
    </row>
    <row r="279" spans="1:15">
      <c r="A279" s="14" t="s">
        <v>177</v>
      </c>
      <c r="B279" s="15" t="s">
        <v>359</v>
      </c>
      <c r="C279" s="12"/>
      <c r="D279" s="12" t="s">
        <v>359</v>
      </c>
      <c r="E279" s="12"/>
      <c r="F279" s="12" t="s">
        <v>359</v>
      </c>
      <c r="G279" s="12"/>
      <c r="H279" s="12"/>
      <c r="I279" s="12"/>
      <c r="J279" s="15"/>
      <c r="K279" s="15">
        <v>9234</v>
      </c>
      <c r="L279" s="12" t="s">
        <v>360</v>
      </c>
      <c r="M279" s="13">
        <f>SUM(B279:K280)</f>
        <v>26395</v>
      </c>
      <c r="N279" s="5"/>
      <c r="O279" s="5"/>
    </row>
    <row r="280" spans="1:15">
      <c r="A280" s="13"/>
      <c r="B280" s="13">
        <v>14511</v>
      </c>
      <c r="C280" s="14"/>
      <c r="D280" s="13">
        <v>1120</v>
      </c>
      <c r="E280" s="13"/>
      <c r="F280" s="13">
        <v>1530</v>
      </c>
      <c r="G280" s="13"/>
      <c r="H280" s="13"/>
      <c r="I280" s="13"/>
      <c r="J280" s="13"/>
      <c r="K280" s="13"/>
      <c r="L280" s="13"/>
      <c r="M280" s="13"/>
      <c r="N280" s="5"/>
      <c r="O280" s="5"/>
    </row>
    <row r="281" spans="1:15">
      <c r="A281" s="13"/>
      <c r="B281" s="13"/>
      <c r="C281" s="14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5"/>
      <c r="O281" s="5"/>
    </row>
    <row r="282" spans="1:15">
      <c r="A282" s="33" t="s">
        <v>6</v>
      </c>
      <c r="B282" s="29" t="s">
        <v>315</v>
      </c>
      <c r="C282" s="32" t="s">
        <v>856</v>
      </c>
      <c r="D282" s="29"/>
      <c r="E282" s="29" t="s">
        <v>856</v>
      </c>
      <c r="F282" s="29" t="s">
        <v>315</v>
      </c>
      <c r="G282" s="29"/>
      <c r="H282" s="29"/>
      <c r="I282" s="29"/>
      <c r="J282" s="29"/>
      <c r="K282" s="29">
        <v>2338</v>
      </c>
      <c r="L282" s="32" t="s">
        <v>316</v>
      </c>
      <c r="M282" s="13">
        <f>SUM(B282:K283)</f>
        <v>37615</v>
      </c>
      <c r="N282" s="5"/>
      <c r="O282" s="5"/>
    </row>
    <row r="283" spans="1:15">
      <c r="A283" s="30"/>
      <c r="B283" s="30">
        <v>19561</v>
      </c>
      <c r="C283" s="30">
        <v>11520</v>
      </c>
      <c r="D283" s="30"/>
      <c r="E283" s="30">
        <v>1845</v>
      </c>
      <c r="F283" s="30">
        <v>2351</v>
      </c>
      <c r="G283" s="30"/>
      <c r="H283" s="30"/>
      <c r="I283" s="30"/>
      <c r="J283" s="30"/>
      <c r="K283" s="30"/>
      <c r="L283" s="30"/>
      <c r="M283" s="13"/>
      <c r="N283" s="5"/>
      <c r="O283" s="5"/>
    </row>
    <row r="284" spans="1: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5"/>
      <c r="O284" s="5"/>
    </row>
    <row r="285" spans="1:15">
      <c r="A285" s="14" t="s">
        <v>13</v>
      </c>
      <c r="B285" s="15" t="s">
        <v>361</v>
      </c>
      <c r="C285" s="15"/>
      <c r="D285" s="15" t="s">
        <v>361</v>
      </c>
      <c r="E285" s="15"/>
      <c r="F285" s="15" t="s">
        <v>361</v>
      </c>
      <c r="G285" s="15"/>
      <c r="H285" s="15"/>
      <c r="I285" s="15"/>
      <c r="J285" s="15"/>
      <c r="K285" s="15">
        <v>14151</v>
      </c>
      <c r="L285" s="12" t="s">
        <v>362</v>
      </c>
      <c r="M285" s="13">
        <f>SUM(B285:K286)</f>
        <v>37064</v>
      </c>
      <c r="N285" s="5"/>
      <c r="O285" s="5"/>
    </row>
    <row r="286" spans="1:15">
      <c r="A286" s="13"/>
      <c r="B286" s="13">
        <v>18956</v>
      </c>
      <c r="C286" s="13"/>
      <c r="D286" s="13">
        <v>2050</v>
      </c>
      <c r="E286" s="13"/>
      <c r="F286" s="13">
        <v>1907</v>
      </c>
      <c r="G286" s="13"/>
      <c r="H286" s="13"/>
      <c r="I286" s="13"/>
      <c r="J286" s="13"/>
      <c r="K286" s="13"/>
      <c r="L286" s="13"/>
      <c r="M286" s="13"/>
      <c r="N286" s="5"/>
      <c r="O286" s="5"/>
    </row>
    <row r="287" spans="1: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5"/>
      <c r="O287" s="5"/>
    </row>
    <row r="288" spans="1:15">
      <c r="A288" s="33" t="s">
        <v>22</v>
      </c>
      <c r="B288" s="29" t="s">
        <v>857</v>
      </c>
      <c r="C288" s="29" t="s">
        <v>858</v>
      </c>
      <c r="D288" s="29"/>
      <c r="E288" s="29" t="s">
        <v>858</v>
      </c>
      <c r="F288" s="29" t="s">
        <v>857</v>
      </c>
      <c r="G288" s="29"/>
      <c r="H288" s="29"/>
      <c r="I288" s="29"/>
      <c r="J288" s="29"/>
      <c r="K288" s="30">
        <v>2790</v>
      </c>
      <c r="L288" s="32" t="s">
        <v>859</v>
      </c>
      <c r="M288" s="13">
        <f>SUM(B288:K289)</f>
        <v>39842</v>
      </c>
      <c r="N288" s="5"/>
      <c r="O288" s="5"/>
    </row>
    <row r="289" spans="1:15">
      <c r="A289" s="30"/>
      <c r="B289" s="30">
        <v>15169</v>
      </c>
      <c r="C289" s="30">
        <v>16002</v>
      </c>
      <c r="D289" s="30"/>
      <c r="E289" s="30">
        <v>3618</v>
      </c>
      <c r="F289" s="30">
        <v>2263</v>
      </c>
      <c r="G289" s="30"/>
      <c r="H289" s="30"/>
      <c r="I289" s="30"/>
      <c r="J289" s="30"/>
      <c r="K289" s="30"/>
      <c r="L289" s="30"/>
      <c r="M289" s="13"/>
      <c r="N289" s="5"/>
      <c r="O289" s="5"/>
    </row>
    <row r="290" spans="1: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5"/>
      <c r="O290" s="5"/>
    </row>
    <row r="291" spans="1:15">
      <c r="A291" s="14" t="s">
        <v>28</v>
      </c>
      <c r="B291" s="15" t="s">
        <v>230</v>
      </c>
      <c r="C291" s="12"/>
      <c r="D291" s="12" t="s">
        <v>230</v>
      </c>
      <c r="E291" s="15"/>
      <c r="F291" s="15" t="s">
        <v>230</v>
      </c>
      <c r="G291" s="15"/>
      <c r="H291" s="15"/>
      <c r="I291" s="15"/>
      <c r="J291" s="15"/>
      <c r="K291" s="13">
        <v>10908</v>
      </c>
      <c r="L291" s="12" t="s">
        <v>173</v>
      </c>
      <c r="M291" s="13">
        <f>SUM(B291:K292)</f>
        <v>34081</v>
      </c>
      <c r="N291" s="5"/>
      <c r="O291" s="5"/>
    </row>
    <row r="292" spans="1:15">
      <c r="A292" s="13"/>
      <c r="B292" s="13">
        <v>18304</v>
      </c>
      <c r="C292" s="13"/>
      <c r="D292" s="13">
        <v>2128</v>
      </c>
      <c r="E292" s="13"/>
      <c r="F292" s="13">
        <v>2741</v>
      </c>
      <c r="G292" s="13"/>
      <c r="H292" s="13"/>
      <c r="I292" s="13"/>
      <c r="J292" s="13"/>
      <c r="K292" s="13"/>
      <c r="L292" s="13"/>
      <c r="M292" s="13"/>
      <c r="N292" s="5"/>
      <c r="O292" s="5"/>
    </row>
    <row r="293" spans="1: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5"/>
      <c r="O293" s="5"/>
    </row>
    <row r="294" spans="1:15">
      <c r="A294" s="33" t="s">
        <v>32</v>
      </c>
      <c r="B294" s="29" t="s">
        <v>248</v>
      </c>
      <c r="C294" s="32" t="s">
        <v>809</v>
      </c>
      <c r="D294" s="29"/>
      <c r="E294" s="32"/>
      <c r="F294" s="32" t="s">
        <v>248</v>
      </c>
      <c r="G294" s="32"/>
      <c r="H294" s="32"/>
      <c r="I294" s="32"/>
      <c r="J294" s="29" t="s">
        <v>860</v>
      </c>
      <c r="K294" s="30">
        <v>2090</v>
      </c>
      <c r="L294" s="32" t="s">
        <v>283</v>
      </c>
      <c r="M294" s="13">
        <f>SUM(B294:K295)</f>
        <v>33650</v>
      </c>
      <c r="N294" s="5"/>
      <c r="O294" s="5"/>
    </row>
    <row r="295" spans="1:15">
      <c r="A295" s="30"/>
      <c r="B295" s="30">
        <v>17446</v>
      </c>
      <c r="C295" s="30">
        <v>11026</v>
      </c>
      <c r="D295" s="30"/>
      <c r="E295" s="30"/>
      <c r="F295" s="30">
        <v>2116</v>
      </c>
      <c r="G295" s="30"/>
      <c r="H295" s="30"/>
      <c r="I295" s="30"/>
      <c r="J295" s="30">
        <v>972</v>
      </c>
      <c r="K295" s="30"/>
      <c r="L295" s="30" t="s">
        <v>33</v>
      </c>
      <c r="M295" s="13"/>
      <c r="N295" s="5"/>
      <c r="O295" s="5"/>
    </row>
    <row r="296" spans="1: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5"/>
      <c r="O296" s="5"/>
    </row>
    <row r="297" spans="1:15">
      <c r="A297" s="14" t="s">
        <v>39</v>
      </c>
      <c r="B297" s="15" t="s">
        <v>267</v>
      </c>
      <c r="C297" s="12" t="s">
        <v>861</v>
      </c>
      <c r="D297" s="12"/>
      <c r="E297" s="12" t="s">
        <v>861</v>
      </c>
      <c r="F297" s="15" t="s">
        <v>267</v>
      </c>
      <c r="G297" s="15"/>
      <c r="H297" s="15"/>
      <c r="I297" s="15"/>
      <c r="J297" s="15"/>
      <c r="K297" s="13">
        <v>3703</v>
      </c>
      <c r="L297" s="12" t="s">
        <v>268</v>
      </c>
      <c r="M297" s="13">
        <f>SUM(B297:K298)</f>
        <v>31635</v>
      </c>
      <c r="N297" s="5"/>
      <c r="O297" s="5"/>
    </row>
    <row r="298" spans="1:15">
      <c r="A298" s="13"/>
      <c r="B298" s="13">
        <v>14732</v>
      </c>
      <c r="C298" s="13">
        <v>9591</v>
      </c>
      <c r="D298" s="13"/>
      <c r="E298" s="13">
        <v>1966</v>
      </c>
      <c r="F298" s="13">
        <v>1643</v>
      </c>
      <c r="G298" s="13"/>
      <c r="H298" s="13"/>
      <c r="I298" s="13"/>
      <c r="J298" s="13"/>
      <c r="K298" s="13"/>
      <c r="L298" s="13"/>
      <c r="M298" s="13"/>
      <c r="N298" s="5"/>
      <c r="O298" s="5"/>
    </row>
    <row r="299" spans="1: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5"/>
      <c r="O299" s="5"/>
    </row>
    <row r="300" spans="1:15">
      <c r="A300" s="33" t="s">
        <v>48</v>
      </c>
      <c r="B300" s="29" t="s">
        <v>862</v>
      </c>
      <c r="C300" s="32" t="s">
        <v>434</v>
      </c>
      <c r="D300" s="29" t="s">
        <v>434</v>
      </c>
      <c r="E300" s="29" t="s">
        <v>434</v>
      </c>
      <c r="F300" s="29" t="s">
        <v>862</v>
      </c>
      <c r="G300" s="29"/>
      <c r="H300" s="29"/>
      <c r="I300" s="29"/>
      <c r="J300" s="29" t="s">
        <v>863</v>
      </c>
      <c r="K300" s="30">
        <v>1732</v>
      </c>
      <c r="L300" s="32" t="s">
        <v>435</v>
      </c>
      <c r="M300" s="13">
        <f>SUM(B300:K301)</f>
        <v>36699</v>
      </c>
      <c r="N300" s="5"/>
      <c r="O300" s="5"/>
    </row>
    <row r="301" spans="1:15">
      <c r="A301" s="30"/>
      <c r="B301" s="30">
        <v>8102</v>
      </c>
      <c r="C301" s="30">
        <v>8626</v>
      </c>
      <c r="D301" s="30">
        <v>2407</v>
      </c>
      <c r="E301" s="30">
        <v>1910</v>
      </c>
      <c r="F301" s="30">
        <v>4804</v>
      </c>
      <c r="G301" s="30"/>
      <c r="H301" s="30"/>
      <c r="I301" s="30"/>
      <c r="J301" s="30">
        <v>9118</v>
      </c>
      <c r="K301" s="30"/>
      <c r="L301" s="30"/>
      <c r="M301" s="13"/>
      <c r="N301" s="5"/>
      <c r="O301" s="5"/>
    </row>
    <row r="302" spans="1: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5"/>
      <c r="O302" s="5"/>
    </row>
    <row r="303" spans="1:15">
      <c r="A303" s="14" t="s">
        <v>56</v>
      </c>
      <c r="B303" s="15" t="s">
        <v>363</v>
      </c>
      <c r="C303" s="12" t="s">
        <v>864</v>
      </c>
      <c r="D303" s="12" t="s">
        <v>864</v>
      </c>
      <c r="E303" s="12" t="s">
        <v>864</v>
      </c>
      <c r="F303" s="12" t="s">
        <v>363</v>
      </c>
      <c r="G303" s="12"/>
      <c r="H303" s="12"/>
      <c r="I303" s="12"/>
      <c r="J303" s="15"/>
      <c r="K303" s="13">
        <v>1383</v>
      </c>
      <c r="L303" s="12" t="s">
        <v>364</v>
      </c>
      <c r="M303" s="13">
        <f>SUM(B303:K304)</f>
        <v>35406</v>
      </c>
      <c r="N303" s="5"/>
      <c r="O303" s="5"/>
    </row>
    <row r="304" spans="1:15">
      <c r="A304" s="13"/>
      <c r="B304" s="13">
        <v>15672</v>
      </c>
      <c r="C304" s="13">
        <v>12365</v>
      </c>
      <c r="D304" s="13">
        <v>637</v>
      </c>
      <c r="E304" s="13">
        <v>3184</v>
      </c>
      <c r="F304" s="13">
        <v>2165</v>
      </c>
      <c r="G304" s="13"/>
      <c r="H304" s="13"/>
      <c r="I304" s="13"/>
      <c r="J304" s="13"/>
      <c r="K304" s="13"/>
      <c r="L304" s="13"/>
      <c r="M304" s="13"/>
      <c r="N304" s="5"/>
      <c r="O304" s="5"/>
    </row>
    <row r="305" spans="1: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5"/>
      <c r="O305" s="5"/>
    </row>
    <row r="306" spans="1:15">
      <c r="A306" s="33" t="s">
        <v>330</v>
      </c>
      <c r="B306" s="29" t="s">
        <v>241</v>
      </c>
      <c r="C306" s="32"/>
      <c r="D306" s="32" t="s">
        <v>241</v>
      </c>
      <c r="E306" s="29"/>
      <c r="F306" s="29" t="s">
        <v>241</v>
      </c>
      <c r="G306" s="29"/>
      <c r="H306" s="29"/>
      <c r="I306" s="29"/>
      <c r="J306" s="29"/>
      <c r="K306" s="30">
        <v>8329</v>
      </c>
      <c r="L306" s="32" t="s">
        <v>242</v>
      </c>
      <c r="M306" s="13">
        <f>SUM(B306:K307)</f>
        <v>27890</v>
      </c>
      <c r="N306" s="5"/>
      <c r="O306" s="5"/>
    </row>
    <row r="307" spans="1:15">
      <c r="A307" s="30"/>
      <c r="B307" s="30">
        <v>14462</v>
      </c>
      <c r="C307" s="30"/>
      <c r="D307" s="30">
        <v>2588</v>
      </c>
      <c r="E307" s="30"/>
      <c r="F307" s="30">
        <v>2511</v>
      </c>
      <c r="G307" s="30"/>
      <c r="H307" s="30"/>
      <c r="I307" s="30"/>
      <c r="J307" s="30"/>
      <c r="K307" s="30"/>
      <c r="L307" s="30"/>
      <c r="M307" s="13"/>
      <c r="N307" s="5"/>
      <c r="O307" s="5"/>
    </row>
    <row r="308" spans="1: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5"/>
      <c r="O308" s="5"/>
    </row>
    <row r="309" spans="1:15">
      <c r="A309" s="14" t="s">
        <v>63</v>
      </c>
      <c r="B309" s="15"/>
      <c r="C309" s="15" t="s">
        <v>865</v>
      </c>
      <c r="D309" s="15" t="s">
        <v>866</v>
      </c>
      <c r="E309" s="15" t="s">
        <v>865</v>
      </c>
      <c r="F309" s="15"/>
      <c r="G309" s="15"/>
      <c r="H309" s="15"/>
      <c r="I309" s="15"/>
      <c r="J309" s="15"/>
      <c r="K309" s="13">
        <v>5644</v>
      </c>
      <c r="L309" s="12" t="s">
        <v>867</v>
      </c>
      <c r="M309" s="13">
        <f>SUM(B309:K310)</f>
        <v>33717</v>
      </c>
      <c r="N309" s="5"/>
      <c r="O309" s="5"/>
    </row>
    <row r="310" spans="1:15">
      <c r="A310" s="13"/>
      <c r="B310" s="13"/>
      <c r="C310" s="13">
        <v>17578</v>
      </c>
      <c r="D310" s="13">
        <v>6768</v>
      </c>
      <c r="E310" s="13">
        <v>3727</v>
      </c>
      <c r="F310" s="13"/>
      <c r="G310" s="13"/>
      <c r="H310" s="13"/>
      <c r="I310" s="13"/>
      <c r="J310" s="13"/>
      <c r="K310" s="13"/>
      <c r="L310" s="13"/>
      <c r="M310" s="13"/>
      <c r="N310" s="5"/>
      <c r="O310" s="5"/>
    </row>
    <row r="311" spans="1: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5"/>
      <c r="O311" s="5"/>
    </row>
    <row r="312" spans="1:15">
      <c r="A312" s="33" t="s">
        <v>70</v>
      </c>
      <c r="B312" s="29"/>
      <c r="C312" s="32" t="s">
        <v>270</v>
      </c>
      <c r="D312" s="32" t="s">
        <v>270</v>
      </c>
      <c r="E312" s="32" t="s">
        <v>270</v>
      </c>
      <c r="F312" s="32"/>
      <c r="G312" s="32"/>
      <c r="H312" s="32"/>
      <c r="I312" s="32"/>
      <c r="J312" s="29"/>
      <c r="K312" s="30">
        <v>9313</v>
      </c>
      <c r="L312" s="32" t="s">
        <v>271</v>
      </c>
      <c r="M312" s="13">
        <f>SUM(B312:K313)</f>
        <v>42836</v>
      </c>
      <c r="N312" s="5"/>
      <c r="O312" s="5"/>
    </row>
    <row r="313" spans="1:15">
      <c r="A313" s="30"/>
      <c r="B313" s="30"/>
      <c r="C313" s="30">
        <v>23862</v>
      </c>
      <c r="D313" s="30">
        <v>4201</v>
      </c>
      <c r="E313" s="30">
        <v>5460</v>
      </c>
      <c r="F313" s="30"/>
      <c r="G313" s="30"/>
      <c r="H313" s="30"/>
      <c r="I313" s="30"/>
      <c r="J313" s="30"/>
      <c r="K313" s="30"/>
      <c r="L313" s="30"/>
      <c r="M313" s="13"/>
      <c r="N313" s="5"/>
      <c r="O313" s="5"/>
    </row>
    <row r="314" spans="1: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5"/>
      <c r="O314" s="5"/>
    </row>
    <row r="315" spans="1:15">
      <c r="A315" s="14" t="s">
        <v>78</v>
      </c>
      <c r="B315" s="15" t="s">
        <v>190</v>
      </c>
      <c r="C315" s="12" t="s">
        <v>868</v>
      </c>
      <c r="D315" s="12"/>
      <c r="E315" s="12" t="s">
        <v>868</v>
      </c>
      <c r="F315" s="12" t="s">
        <v>190</v>
      </c>
      <c r="G315" s="12"/>
      <c r="H315" s="12"/>
      <c r="I315" s="12"/>
      <c r="J315" s="15"/>
      <c r="K315" s="13">
        <v>1790</v>
      </c>
      <c r="L315" s="12" t="s">
        <v>208</v>
      </c>
      <c r="M315" s="13">
        <f>SUM(B315:K316)</f>
        <v>43379</v>
      </c>
      <c r="N315" s="5"/>
      <c r="O315" s="5"/>
    </row>
    <row r="316" spans="1:15">
      <c r="A316" s="13"/>
      <c r="B316" s="13">
        <v>20423</v>
      </c>
      <c r="C316" s="13">
        <v>12556</v>
      </c>
      <c r="D316" s="13"/>
      <c r="E316" s="13">
        <v>3496</v>
      </c>
      <c r="F316" s="13">
        <v>5114</v>
      </c>
      <c r="G316" s="13"/>
      <c r="H316" s="13"/>
      <c r="I316" s="13"/>
      <c r="J316" s="13"/>
      <c r="K316" s="13"/>
      <c r="L316" s="13"/>
      <c r="M316" s="13"/>
      <c r="N316" s="5"/>
      <c r="O316" s="5"/>
    </row>
    <row r="317" spans="1: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5"/>
      <c r="O317" s="5"/>
    </row>
    <row r="318" spans="1:15">
      <c r="A318" s="33" t="s">
        <v>84</v>
      </c>
      <c r="B318" s="29" t="s">
        <v>277</v>
      </c>
      <c r="C318" s="32" t="s">
        <v>869</v>
      </c>
      <c r="D318" s="32" t="s">
        <v>869</v>
      </c>
      <c r="E318" s="32" t="s">
        <v>869</v>
      </c>
      <c r="F318" s="29" t="s">
        <v>277</v>
      </c>
      <c r="G318" s="29"/>
      <c r="H318" s="29"/>
      <c r="I318" s="29"/>
      <c r="J318" s="29"/>
      <c r="K318" s="30">
        <v>1287</v>
      </c>
      <c r="L318" s="32" t="s">
        <v>436</v>
      </c>
      <c r="M318" s="13">
        <f>SUM(B318:K319)</f>
        <v>25191</v>
      </c>
      <c r="N318" s="5"/>
      <c r="O318" s="5"/>
    </row>
    <row r="319" spans="1:15">
      <c r="A319" s="30"/>
      <c r="B319" s="30">
        <v>12659</v>
      </c>
      <c r="C319" s="30">
        <v>7137</v>
      </c>
      <c r="D319" s="30">
        <v>733</v>
      </c>
      <c r="E319" s="30">
        <v>1663</v>
      </c>
      <c r="F319" s="30">
        <v>1712</v>
      </c>
      <c r="G319" s="30"/>
      <c r="H319" s="30"/>
      <c r="I319" s="30"/>
      <c r="J319" s="30"/>
      <c r="K319" s="30"/>
      <c r="L319" s="30"/>
      <c r="M319" s="13"/>
      <c r="N319" s="5"/>
      <c r="O319" s="5"/>
    </row>
    <row r="320" spans="1: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5"/>
      <c r="O320" s="5"/>
    </row>
    <row r="321" spans="1:15">
      <c r="A321" s="14" t="s">
        <v>89</v>
      </c>
      <c r="B321" s="15" t="s">
        <v>350</v>
      </c>
      <c r="C321" s="12" t="s">
        <v>365</v>
      </c>
      <c r="D321" s="12" t="s">
        <v>365</v>
      </c>
      <c r="E321" s="15" t="s">
        <v>365</v>
      </c>
      <c r="F321" s="15" t="s">
        <v>350</v>
      </c>
      <c r="G321" s="15"/>
      <c r="H321" s="15"/>
      <c r="I321" s="15"/>
      <c r="J321" s="15"/>
      <c r="K321" s="13">
        <v>1760</v>
      </c>
      <c r="L321" s="12" t="s">
        <v>437</v>
      </c>
      <c r="M321" s="13">
        <f>SUM(B321:K322)</f>
        <v>36444</v>
      </c>
      <c r="N321" s="5"/>
      <c r="O321" s="5"/>
    </row>
    <row r="322" spans="1:15">
      <c r="A322" s="13"/>
      <c r="B322" s="13">
        <v>10596</v>
      </c>
      <c r="C322" s="13">
        <v>17334</v>
      </c>
      <c r="D322" s="13">
        <v>1234</v>
      </c>
      <c r="E322" s="13">
        <v>4163</v>
      </c>
      <c r="F322" s="13">
        <v>1357</v>
      </c>
      <c r="G322" s="13"/>
      <c r="H322" s="13"/>
      <c r="I322" s="13"/>
      <c r="J322" s="13"/>
      <c r="K322" s="13"/>
      <c r="L322" s="13"/>
      <c r="M322" s="13"/>
      <c r="N322" s="5"/>
      <c r="O322" s="5"/>
    </row>
    <row r="323" spans="1: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>
      <c r="A324" s="33" t="s">
        <v>96</v>
      </c>
      <c r="B324" s="29" t="s">
        <v>366</v>
      </c>
      <c r="C324" s="32" t="s">
        <v>870</v>
      </c>
      <c r="D324" s="29" t="s">
        <v>366</v>
      </c>
      <c r="E324" s="32" t="s">
        <v>870</v>
      </c>
      <c r="F324" s="32" t="s">
        <v>366</v>
      </c>
      <c r="G324" s="32"/>
      <c r="H324" s="32"/>
      <c r="I324" s="32"/>
      <c r="J324" s="29"/>
      <c r="K324" s="30">
        <v>1437</v>
      </c>
      <c r="L324" s="32" t="s">
        <v>367</v>
      </c>
      <c r="M324" s="13">
        <f>SUM(B324:K325)</f>
        <v>37344</v>
      </c>
      <c r="N324" s="5"/>
      <c r="O324" s="5"/>
    </row>
    <row r="325" spans="1:15">
      <c r="A325" s="30"/>
      <c r="B325" s="30">
        <v>15103</v>
      </c>
      <c r="C325" s="30">
        <v>14206</v>
      </c>
      <c r="D325" s="30">
        <v>1326</v>
      </c>
      <c r="E325" s="30">
        <v>3459</v>
      </c>
      <c r="F325" s="30">
        <v>1813</v>
      </c>
      <c r="G325" s="30"/>
      <c r="H325" s="30"/>
      <c r="I325" s="30"/>
      <c r="J325" s="30"/>
      <c r="K325" s="30"/>
      <c r="L325" s="30"/>
      <c r="M325" s="13"/>
      <c r="N325" s="5"/>
      <c r="O325" s="5"/>
    </row>
    <row r="326" spans="1: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5"/>
      <c r="O326" s="5"/>
    </row>
    <row r="327" spans="1:15">
      <c r="A327" s="14" t="s">
        <v>99</v>
      </c>
      <c r="B327" s="15" t="s">
        <v>871</v>
      </c>
      <c r="C327" s="12" t="s">
        <v>278</v>
      </c>
      <c r="D327" s="12" t="s">
        <v>278</v>
      </c>
      <c r="E327" s="12" t="s">
        <v>278</v>
      </c>
      <c r="F327" s="12" t="s">
        <v>871</v>
      </c>
      <c r="G327" s="12"/>
      <c r="H327" s="12"/>
      <c r="I327" s="12"/>
      <c r="J327" s="15" t="s">
        <v>872</v>
      </c>
      <c r="K327" s="13">
        <v>2465</v>
      </c>
      <c r="L327" s="12" t="s">
        <v>368</v>
      </c>
      <c r="M327" s="13">
        <f>SUM(B327:K328)</f>
        <v>45370</v>
      </c>
      <c r="N327" s="5"/>
      <c r="O327" s="5"/>
    </row>
    <row r="328" spans="1:15">
      <c r="A328" s="13"/>
      <c r="B328" s="13">
        <v>12142</v>
      </c>
      <c r="C328" s="13">
        <v>20591</v>
      </c>
      <c r="D328" s="13">
        <v>2495</v>
      </c>
      <c r="E328" s="13">
        <v>5049</v>
      </c>
      <c r="F328" s="13">
        <v>2284</v>
      </c>
      <c r="G328" s="13"/>
      <c r="H328" s="13"/>
      <c r="I328" s="13"/>
      <c r="J328" s="13">
        <v>344</v>
      </c>
      <c r="K328" s="13"/>
      <c r="L328" s="13"/>
      <c r="M328" s="13"/>
      <c r="N328" s="5"/>
      <c r="O328" s="5"/>
    </row>
    <row r="329" spans="1: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5"/>
      <c r="O329" s="5"/>
    </row>
    <row r="330" spans="1:15">
      <c r="A330" s="33" t="s">
        <v>111</v>
      </c>
      <c r="B330" s="29" t="s">
        <v>369</v>
      </c>
      <c r="C330" s="32" t="s">
        <v>873</v>
      </c>
      <c r="D330" s="32" t="s">
        <v>369</v>
      </c>
      <c r="E330" s="32" t="s">
        <v>873</v>
      </c>
      <c r="F330" s="32"/>
      <c r="G330" s="32"/>
      <c r="H330" s="32"/>
      <c r="I330" s="32"/>
      <c r="J330" s="29" t="s">
        <v>874</v>
      </c>
      <c r="K330" s="30">
        <v>2123</v>
      </c>
      <c r="L330" s="32" t="s">
        <v>370</v>
      </c>
      <c r="M330" s="13">
        <f>SUM(B330:K331)</f>
        <v>26457</v>
      </c>
      <c r="N330" s="5"/>
      <c r="O330" s="5"/>
    </row>
    <row r="331" spans="1:15">
      <c r="A331" s="30"/>
      <c r="B331" s="30">
        <v>15803</v>
      </c>
      <c r="C331" s="30">
        <v>4797</v>
      </c>
      <c r="D331" s="30">
        <v>2081</v>
      </c>
      <c r="E331" s="30">
        <v>1447</v>
      </c>
      <c r="F331" s="30"/>
      <c r="G331" s="30"/>
      <c r="H331" s="30"/>
      <c r="I331" s="30"/>
      <c r="J331" s="30">
        <v>206</v>
      </c>
      <c r="K331" s="30"/>
      <c r="L331" s="30"/>
      <c r="M331" s="13"/>
      <c r="N331" s="5"/>
      <c r="O331" s="5"/>
    </row>
    <row r="332" spans="1: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5"/>
      <c r="O332" s="5"/>
    </row>
    <row r="333" spans="1:15">
      <c r="A333" s="14" t="s">
        <v>119</v>
      </c>
      <c r="B333" s="15" t="s">
        <v>371</v>
      </c>
      <c r="C333" s="12" t="s">
        <v>438</v>
      </c>
      <c r="D333" s="12"/>
      <c r="E333" s="12" t="s">
        <v>438</v>
      </c>
      <c r="F333" s="12" t="s">
        <v>371</v>
      </c>
      <c r="G333" s="12"/>
      <c r="H333" s="12"/>
      <c r="I333" s="12"/>
      <c r="J333" s="15" t="s">
        <v>875</v>
      </c>
      <c r="K333" s="13">
        <v>2628</v>
      </c>
      <c r="L333" s="12" t="s">
        <v>372</v>
      </c>
      <c r="M333" s="13">
        <f>SUM(B333:K334)</f>
        <v>43965</v>
      </c>
      <c r="N333" s="5"/>
      <c r="O333" s="5"/>
    </row>
    <row r="334" spans="1:15">
      <c r="A334" s="13"/>
      <c r="B334" s="13">
        <v>23144</v>
      </c>
      <c r="C334" s="13">
        <v>10828</v>
      </c>
      <c r="D334" s="13"/>
      <c r="E334" s="13">
        <v>2716</v>
      </c>
      <c r="F334" s="13">
        <v>4365</v>
      </c>
      <c r="G334" s="13"/>
      <c r="H334" s="13"/>
      <c r="I334" s="13"/>
      <c r="J334" s="13">
        <v>284</v>
      </c>
      <c r="K334" s="13"/>
      <c r="L334" s="13"/>
      <c r="M334" s="13"/>
      <c r="N334" s="5"/>
      <c r="O334" s="5"/>
    </row>
    <row r="335" spans="1: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5"/>
      <c r="O335" s="5"/>
    </row>
    <row r="336" spans="1:15">
      <c r="A336" s="33" t="s">
        <v>127</v>
      </c>
      <c r="B336" s="29" t="s">
        <v>373</v>
      </c>
      <c r="C336" s="32" t="s">
        <v>876</v>
      </c>
      <c r="D336" s="32" t="s">
        <v>373</v>
      </c>
      <c r="E336" s="32" t="s">
        <v>876</v>
      </c>
      <c r="F336" s="32" t="s">
        <v>373</v>
      </c>
      <c r="G336" s="32"/>
      <c r="H336" s="32"/>
      <c r="I336" s="32"/>
      <c r="J336" s="29"/>
      <c r="K336" s="30">
        <v>2048</v>
      </c>
      <c r="L336" s="32" t="s">
        <v>374</v>
      </c>
      <c r="M336" s="13">
        <f>SUM(B336:K337)</f>
        <v>41629</v>
      </c>
      <c r="N336" s="5"/>
      <c r="O336" s="5"/>
    </row>
    <row r="337" spans="1:15">
      <c r="A337" s="30"/>
      <c r="B337" s="30">
        <v>17663</v>
      </c>
      <c r="C337" s="30">
        <v>14900</v>
      </c>
      <c r="D337" s="30">
        <v>1773</v>
      </c>
      <c r="E337" s="30">
        <v>3303</v>
      </c>
      <c r="F337" s="30">
        <v>1942</v>
      </c>
      <c r="G337" s="30"/>
      <c r="H337" s="30"/>
      <c r="I337" s="30"/>
      <c r="J337" s="30"/>
      <c r="K337" s="30"/>
      <c r="L337" s="30"/>
      <c r="M337" s="13"/>
      <c r="N337" s="5"/>
      <c r="O337" s="5"/>
    </row>
    <row r="338" spans="1: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5"/>
      <c r="O338" s="5"/>
    </row>
    <row r="339" spans="1:15">
      <c r="A339" s="14" t="s">
        <v>131</v>
      </c>
      <c r="B339" s="15" t="s">
        <v>317</v>
      </c>
      <c r="C339" s="12" t="s">
        <v>439</v>
      </c>
      <c r="D339" s="12" t="s">
        <v>317</v>
      </c>
      <c r="E339" s="12" t="s">
        <v>439</v>
      </c>
      <c r="F339" s="12" t="s">
        <v>317</v>
      </c>
      <c r="G339" s="12"/>
      <c r="H339" s="12"/>
      <c r="I339" s="12"/>
      <c r="J339" s="12"/>
      <c r="K339" s="13">
        <v>1686</v>
      </c>
      <c r="L339" s="12" t="s">
        <v>375</v>
      </c>
      <c r="M339" s="13">
        <f>SUM(B339:K340)</f>
        <v>34907</v>
      </c>
      <c r="N339" s="5"/>
      <c r="O339" s="5"/>
    </row>
    <row r="340" spans="1:15">
      <c r="A340" s="13"/>
      <c r="B340" s="13">
        <v>14123</v>
      </c>
      <c r="C340" s="13">
        <v>12263</v>
      </c>
      <c r="D340" s="13">
        <v>1531</v>
      </c>
      <c r="E340" s="13">
        <v>3688</v>
      </c>
      <c r="F340" s="13">
        <v>1616</v>
      </c>
      <c r="G340" s="13"/>
      <c r="H340" s="13"/>
      <c r="I340" s="13"/>
      <c r="J340" s="13"/>
      <c r="K340" s="13"/>
      <c r="L340" s="13"/>
      <c r="M340" s="13"/>
      <c r="N340" s="5"/>
      <c r="O340" s="5"/>
    </row>
    <row r="341" spans="1: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5"/>
      <c r="O341" s="5"/>
    </row>
    <row r="342" spans="1:15">
      <c r="A342" s="33" t="s">
        <v>137</v>
      </c>
      <c r="B342" s="29" t="s">
        <v>877</v>
      </c>
      <c r="C342" s="32" t="s">
        <v>878</v>
      </c>
      <c r="D342" s="32" t="s">
        <v>878</v>
      </c>
      <c r="E342" s="32" t="s">
        <v>878</v>
      </c>
      <c r="F342" s="32"/>
      <c r="G342" s="32"/>
      <c r="H342" s="32"/>
      <c r="I342" s="32"/>
      <c r="J342" s="32" t="s">
        <v>879</v>
      </c>
      <c r="K342" s="30">
        <v>1739</v>
      </c>
      <c r="L342" s="32" t="s">
        <v>880</v>
      </c>
      <c r="M342" s="13">
        <f>SUM(B342:K343)</f>
        <v>45944</v>
      </c>
      <c r="N342" s="5"/>
      <c r="O342" s="5"/>
    </row>
    <row r="343" spans="1:15">
      <c r="A343" s="30"/>
      <c r="B343" s="30">
        <v>10400</v>
      </c>
      <c r="C343" s="30">
        <v>25587</v>
      </c>
      <c r="D343" s="30">
        <v>2634</v>
      </c>
      <c r="E343" s="30">
        <v>4923</v>
      </c>
      <c r="F343" s="30"/>
      <c r="G343" s="30"/>
      <c r="H343" s="30"/>
      <c r="I343" s="30"/>
      <c r="J343" s="30">
        <v>661</v>
      </c>
      <c r="K343" s="30"/>
      <c r="L343" s="30"/>
      <c r="M343" s="13"/>
      <c r="N343" s="5"/>
      <c r="O343" s="5"/>
    </row>
    <row r="344" spans="1: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5"/>
      <c r="O344" s="5"/>
    </row>
    <row r="345" spans="1:15">
      <c r="A345" s="14" t="s">
        <v>146</v>
      </c>
      <c r="B345" s="15" t="s">
        <v>376</v>
      </c>
      <c r="C345" s="12" t="s">
        <v>881</v>
      </c>
      <c r="D345" s="12" t="s">
        <v>881</v>
      </c>
      <c r="E345" s="12" t="s">
        <v>881</v>
      </c>
      <c r="F345" s="12" t="s">
        <v>376</v>
      </c>
      <c r="G345" s="12"/>
      <c r="H345" s="12"/>
      <c r="I345" s="12"/>
      <c r="J345" s="15"/>
      <c r="K345" s="13">
        <v>1510</v>
      </c>
      <c r="L345" s="12" t="s">
        <v>440</v>
      </c>
      <c r="M345" s="13">
        <f>SUM(B345:K346)</f>
        <v>38765</v>
      </c>
      <c r="N345" s="5"/>
      <c r="O345" s="5"/>
    </row>
    <row r="346" spans="1:15">
      <c r="A346" s="13"/>
      <c r="B346" s="13">
        <v>16584</v>
      </c>
      <c r="C346" s="13">
        <v>13892</v>
      </c>
      <c r="D346" s="13">
        <v>876</v>
      </c>
      <c r="E346" s="13">
        <v>2969</v>
      </c>
      <c r="F346" s="13">
        <v>2934</v>
      </c>
      <c r="G346" s="13"/>
      <c r="H346" s="13"/>
      <c r="I346" s="13"/>
      <c r="J346" s="13"/>
      <c r="K346" s="13"/>
      <c r="L346" s="13"/>
      <c r="M346" s="13"/>
      <c r="N346" s="5"/>
      <c r="O346" s="5"/>
    </row>
    <row r="347" spans="1: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5"/>
      <c r="O347" s="5"/>
    </row>
    <row r="348" spans="1:15">
      <c r="A348" s="33" t="s">
        <v>151</v>
      </c>
      <c r="B348" s="29"/>
      <c r="C348" s="32" t="s">
        <v>377</v>
      </c>
      <c r="D348" s="32" t="s">
        <v>377</v>
      </c>
      <c r="E348" s="32" t="s">
        <v>377</v>
      </c>
      <c r="F348" s="32"/>
      <c r="G348" s="32"/>
      <c r="H348" s="32"/>
      <c r="I348" s="32"/>
      <c r="J348" s="29"/>
      <c r="K348" s="30">
        <v>9296</v>
      </c>
      <c r="L348" s="32" t="s">
        <v>378</v>
      </c>
      <c r="M348" s="13">
        <f>SUM(B348:K349)</f>
        <v>38573</v>
      </c>
      <c r="N348" s="5"/>
      <c r="O348" s="5"/>
    </row>
    <row r="349" spans="1:15">
      <c r="A349" s="30"/>
      <c r="B349" s="30"/>
      <c r="C349" s="30">
        <v>21934</v>
      </c>
      <c r="D349" s="30">
        <v>4350</v>
      </c>
      <c r="E349" s="30">
        <v>2993</v>
      </c>
      <c r="F349" s="30"/>
      <c r="G349" s="30"/>
      <c r="H349" s="30"/>
      <c r="I349" s="30"/>
      <c r="J349" s="30"/>
      <c r="K349" s="30"/>
      <c r="L349" s="30"/>
      <c r="M349" s="13"/>
      <c r="N349" s="5"/>
      <c r="O349" s="5"/>
    </row>
    <row r="350" spans="1: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5"/>
      <c r="O350" s="5"/>
    </row>
    <row r="351" spans="1:15">
      <c r="A351" s="14" t="s">
        <v>157</v>
      </c>
      <c r="B351" s="15"/>
      <c r="C351" s="12" t="s">
        <v>882</v>
      </c>
      <c r="D351" s="12" t="s">
        <v>882</v>
      </c>
      <c r="E351" s="12" t="s">
        <v>883</v>
      </c>
      <c r="F351" s="12"/>
      <c r="G351" s="12"/>
      <c r="H351" s="12"/>
      <c r="I351" s="12"/>
      <c r="J351" s="12"/>
      <c r="K351" s="13">
        <v>3654</v>
      </c>
      <c r="L351" s="12" t="s">
        <v>884</v>
      </c>
      <c r="M351" s="13">
        <f>SUM(B351:K352)</f>
        <v>32444</v>
      </c>
      <c r="N351" s="5"/>
      <c r="O351" s="5"/>
    </row>
    <row r="352" spans="1:15">
      <c r="A352" s="13"/>
      <c r="B352" s="13"/>
      <c r="C352" s="13">
        <v>15061</v>
      </c>
      <c r="D352" s="13">
        <v>3752</v>
      </c>
      <c r="E352" s="13">
        <v>9977</v>
      </c>
      <c r="F352" s="13"/>
      <c r="G352" s="13"/>
      <c r="H352" s="13"/>
      <c r="I352" s="13"/>
      <c r="J352" s="13"/>
      <c r="K352" s="13"/>
      <c r="L352" s="13"/>
      <c r="M352" s="13"/>
      <c r="N352" s="5"/>
      <c r="O352" s="5"/>
    </row>
    <row r="353" spans="1: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5"/>
      <c r="O353" s="5"/>
    </row>
    <row r="354" spans="1:15">
      <c r="A354" s="33" t="s">
        <v>165</v>
      </c>
      <c r="B354" s="29" t="s">
        <v>279</v>
      </c>
      <c r="C354" s="32" t="s">
        <v>885</v>
      </c>
      <c r="D354" s="32" t="s">
        <v>885</v>
      </c>
      <c r="E354" s="32" t="s">
        <v>886</v>
      </c>
      <c r="F354" s="32" t="s">
        <v>279</v>
      </c>
      <c r="G354" s="32"/>
      <c r="H354" s="32"/>
      <c r="I354" s="32"/>
      <c r="J354" s="29"/>
      <c r="K354" s="30">
        <v>1125</v>
      </c>
      <c r="L354" s="32" t="s">
        <v>280</v>
      </c>
      <c r="M354" s="13">
        <f>SUM(B354:K355)</f>
        <v>31893</v>
      </c>
      <c r="N354" s="5"/>
      <c r="O354" s="5"/>
    </row>
    <row r="355" spans="1:15">
      <c r="A355" s="30"/>
      <c r="B355" s="30">
        <v>13227</v>
      </c>
      <c r="C355" s="30">
        <v>13408</v>
      </c>
      <c r="D355" s="30">
        <v>1164</v>
      </c>
      <c r="E355" s="30">
        <v>1529</v>
      </c>
      <c r="F355" s="30">
        <v>1440</v>
      </c>
      <c r="G355" s="30"/>
      <c r="H355" s="30"/>
      <c r="I355" s="30"/>
      <c r="J355" s="30"/>
      <c r="K355" s="30"/>
      <c r="L355" s="30"/>
      <c r="M355" s="13"/>
      <c r="N355" s="5"/>
      <c r="O355" s="5"/>
    </row>
    <row r="356" spans="1: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5"/>
      <c r="O356" s="5"/>
    </row>
    <row r="357" spans="1:15">
      <c r="A357" s="14" t="s">
        <v>169</v>
      </c>
      <c r="B357" s="5"/>
      <c r="C357" s="15" t="s">
        <v>318</v>
      </c>
      <c r="D357" s="15" t="s">
        <v>318</v>
      </c>
      <c r="E357" s="15" t="s">
        <v>318</v>
      </c>
      <c r="F357" s="5"/>
      <c r="G357" s="5"/>
      <c r="H357" s="5"/>
      <c r="I357" s="5"/>
      <c r="J357" s="12"/>
      <c r="K357" s="13">
        <v>5992</v>
      </c>
      <c r="L357" s="12" t="s">
        <v>379</v>
      </c>
      <c r="M357" s="13">
        <f>SUM(C357:K358)</f>
        <v>29218</v>
      </c>
      <c r="N357" s="5"/>
      <c r="O357" s="5"/>
    </row>
    <row r="358" spans="1:15">
      <c r="A358" s="13"/>
      <c r="B358" s="5"/>
      <c r="C358" s="13">
        <v>18118</v>
      </c>
      <c r="D358" s="13">
        <v>2544</v>
      </c>
      <c r="E358" s="13">
        <v>2564</v>
      </c>
      <c r="F358" s="5"/>
      <c r="G358" s="5"/>
      <c r="H358" s="5"/>
      <c r="I358" s="5"/>
      <c r="J358" s="13"/>
      <c r="K358" s="13"/>
      <c r="L358" s="13"/>
      <c r="M358" s="13"/>
      <c r="N358" s="5"/>
      <c r="O358" s="5"/>
    </row>
    <row r="359" spans="1: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5"/>
      <c r="O359" s="5"/>
    </row>
    <row r="360" spans="1:15">
      <c r="A360" s="33" t="s">
        <v>175</v>
      </c>
      <c r="B360" s="29"/>
      <c r="C360" s="32" t="s">
        <v>233</v>
      </c>
      <c r="D360" s="32"/>
      <c r="E360" s="32" t="s">
        <v>233</v>
      </c>
      <c r="F360" s="32"/>
      <c r="G360" s="32"/>
      <c r="H360" s="32"/>
      <c r="I360" s="32"/>
      <c r="J360" s="29"/>
      <c r="K360" s="30">
        <v>7928</v>
      </c>
      <c r="L360" s="32" t="s">
        <v>441</v>
      </c>
      <c r="M360" s="13">
        <f>SUM(B360:K361)</f>
        <v>35904</v>
      </c>
      <c r="N360" s="5"/>
      <c r="O360" s="5"/>
    </row>
    <row r="361" spans="1:15">
      <c r="A361" s="30"/>
      <c r="B361" s="30"/>
      <c r="C361" s="30">
        <v>23680</v>
      </c>
      <c r="D361" s="30"/>
      <c r="E361" s="30">
        <v>4296</v>
      </c>
      <c r="F361" s="30"/>
      <c r="G361" s="30"/>
      <c r="H361" s="30"/>
      <c r="I361" s="30"/>
      <c r="J361" s="30"/>
      <c r="K361" s="30"/>
      <c r="L361" s="30"/>
      <c r="M361" s="13"/>
      <c r="N361" s="5"/>
      <c r="O361" s="5"/>
    </row>
    <row r="362" spans="1: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5"/>
      <c r="O362" s="5"/>
    </row>
    <row r="363" spans="1:15">
      <c r="A363" s="14" t="s">
        <v>178</v>
      </c>
      <c r="B363" s="15" t="s">
        <v>380</v>
      </c>
      <c r="C363" s="12"/>
      <c r="D363" s="12" t="s">
        <v>380</v>
      </c>
      <c r="E363" s="12"/>
      <c r="F363" s="12" t="s">
        <v>380</v>
      </c>
      <c r="G363" s="12"/>
      <c r="H363" s="12"/>
      <c r="I363" s="12"/>
      <c r="J363" s="12"/>
      <c r="K363" s="13">
        <v>6630</v>
      </c>
      <c r="L363" s="12" t="s">
        <v>381</v>
      </c>
      <c r="M363" s="13">
        <f>SUM(B363:K364)</f>
        <v>25550</v>
      </c>
      <c r="N363" s="5"/>
      <c r="O363" s="5"/>
    </row>
    <row r="364" spans="1:15">
      <c r="A364" s="13"/>
      <c r="B364" s="13">
        <v>13733</v>
      </c>
      <c r="C364" s="13"/>
      <c r="D364" s="13">
        <v>3114</v>
      </c>
      <c r="E364" s="13"/>
      <c r="F364" s="13">
        <v>2073</v>
      </c>
      <c r="G364" s="13"/>
      <c r="H364" s="13"/>
      <c r="I364" s="13"/>
      <c r="J364" s="13"/>
      <c r="K364" s="13"/>
      <c r="L364" s="13"/>
      <c r="M364" s="13"/>
      <c r="N364" s="5"/>
      <c r="O364" s="5"/>
    </row>
    <row r="365" spans="1: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5"/>
      <c r="O365" s="5"/>
    </row>
    <row r="366" spans="1:15">
      <c r="A366" s="30" t="s">
        <v>180</v>
      </c>
      <c r="B366" s="29"/>
      <c r="C366" s="29" t="s">
        <v>234</v>
      </c>
      <c r="D366" s="29" t="s">
        <v>234</v>
      </c>
      <c r="E366" s="29" t="s">
        <v>234</v>
      </c>
      <c r="F366" s="29"/>
      <c r="G366" s="29"/>
      <c r="H366" s="29"/>
      <c r="I366" s="29"/>
      <c r="J366" s="29"/>
      <c r="K366" s="30">
        <v>6946</v>
      </c>
      <c r="L366" s="32" t="s">
        <v>249</v>
      </c>
      <c r="M366" s="13">
        <f>SUM(B366:K367)</f>
        <v>34671</v>
      </c>
      <c r="N366" s="5"/>
      <c r="O366" s="5"/>
    </row>
    <row r="367" spans="1:15">
      <c r="A367" s="33"/>
      <c r="B367" s="30"/>
      <c r="C367" s="30">
        <v>20876</v>
      </c>
      <c r="D367" s="30">
        <v>3384</v>
      </c>
      <c r="E367" s="30">
        <v>3465</v>
      </c>
      <c r="F367" s="30"/>
      <c r="G367" s="30"/>
      <c r="H367" s="30"/>
      <c r="I367" s="30"/>
      <c r="J367" s="30"/>
      <c r="K367" s="30"/>
      <c r="L367" s="30"/>
      <c r="M367" s="13"/>
      <c r="N367" s="5"/>
      <c r="O367" s="5"/>
    </row>
    <row r="368" spans="1:15">
      <c r="A368" s="14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5"/>
      <c r="O368" s="5"/>
    </row>
    <row r="369" spans="1:15">
      <c r="A369" s="13" t="s">
        <v>182</v>
      </c>
      <c r="B369" s="15" t="s">
        <v>382</v>
      </c>
      <c r="C369" s="12" t="s">
        <v>442</v>
      </c>
      <c r="D369" s="12"/>
      <c r="E369" s="12" t="s">
        <v>442</v>
      </c>
      <c r="F369" s="12"/>
      <c r="G369" s="12"/>
      <c r="H369" s="12"/>
      <c r="I369" s="12"/>
      <c r="J369" s="15"/>
      <c r="K369" s="13">
        <v>1382</v>
      </c>
      <c r="L369" s="12" t="s">
        <v>132</v>
      </c>
      <c r="M369" s="13">
        <f>SUM(B369:K370)</f>
        <v>33894</v>
      </c>
      <c r="N369" s="5"/>
      <c r="O369" s="5"/>
    </row>
    <row r="370" spans="1:15">
      <c r="A370" s="13"/>
      <c r="B370" s="13">
        <v>17073</v>
      </c>
      <c r="C370" s="13">
        <v>12729</v>
      </c>
      <c r="D370" s="13"/>
      <c r="E370" s="13">
        <v>2710</v>
      </c>
      <c r="F370" s="13"/>
      <c r="G370" s="13"/>
      <c r="H370" s="13"/>
      <c r="I370" s="13"/>
      <c r="J370" s="13"/>
      <c r="K370" s="13"/>
      <c r="L370" s="13"/>
      <c r="M370" s="13"/>
      <c r="N370" s="5"/>
      <c r="O370" s="5"/>
    </row>
    <row r="371" spans="1: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5"/>
      <c r="O371" s="5"/>
    </row>
    <row r="372" spans="1:15">
      <c r="A372" s="33" t="s">
        <v>183</v>
      </c>
      <c r="B372" s="29"/>
      <c r="C372" s="32" t="s">
        <v>232</v>
      </c>
      <c r="D372" s="32"/>
      <c r="E372" s="32"/>
      <c r="F372" s="32"/>
      <c r="G372" s="32"/>
      <c r="H372" s="32"/>
      <c r="I372" s="32"/>
      <c r="J372" s="29"/>
      <c r="K372" s="30">
        <v>9082</v>
      </c>
      <c r="L372" s="32" t="s">
        <v>240</v>
      </c>
      <c r="M372" s="13">
        <f>SUM(B372:K373)</f>
        <v>35821</v>
      </c>
      <c r="N372" s="5"/>
      <c r="O372" s="5"/>
    </row>
    <row r="373" spans="1:15">
      <c r="A373" s="30"/>
      <c r="B373" s="30"/>
      <c r="C373" s="30">
        <v>26739</v>
      </c>
      <c r="D373" s="30"/>
      <c r="E373" s="30"/>
      <c r="F373" s="30"/>
      <c r="G373" s="30"/>
      <c r="H373" s="30"/>
      <c r="I373" s="30"/>
      <c r="J373" s="30"/>
      <c r="K373" s="30"/>
      <c r="L373" s="30"/>
      <c r="M373" s="13"/>
      <c r="N373" s="5"/>
      <c r="O373" s="5"/>
    </row>
    <row r="374" spans="1: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5"/>
      <c r="O374" s="5"/>
    </row>
    <row r="375" spans="1:15">
      <c r="A375" s="13" t="s">
        <v>184</v>
      </c>
      <c r="B375" s="15" t="s">
        <v>237</v>
      </c>
      <c r="C375" s="15"/>
      <c r="D375" s="15"/>
      <c r="E375" s="15"/>
      <c r="F375" s="15" t="s">
        <v>237</v>
      </c>
      <c r="G375" s="15"/>
      <c r="H375" s="15"/>
      <c r="I375" s="15"/>
      <c r="J375" s="15"/>
      <c r="K375" s="13">
        <v>10093</v>
      </c>
      <c r="L375" s="12" t="s">
        <v>250</v>
      </c>
      <c r="M375" s="13">
        <f>SUM(B375:K376)</f>
        <v>33249</v>
      </c>
      <c r="N375" s="5"/>
      <c r="O375" s="5"/>
    </row>
    <row r="376" spans="1:15">
      <c r="A376" s="13"/>
      <c r="B376" s="13">
        <v>19327</v>
      </c>
      <c r="C376" s="13"/>
      <c r="D376" s="13"/>
      <c r="E376" s="13"/>
      <c r="F376" s="13">
        <v>3829</v>
      </c>
      <c r="G376" s="13"/>
      <c r="H376" s="13"/>
      <c r="I376" s="13"/>
      <c r="J376" s="13"/>
      <c r="K376" s="13"/>
      <c r="L376" s="13"/>
      <c r="M376" s="13"/>
      <c r="N376" s="5"/>
      <c r="O376" s="5"/>
    </row>
    <row r="377" spans="1: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5"/>
      <c r="O377" s="5"/>
    </row>
    <row r="378" spans="1:15">
      <c r="A378" s="30" t="s">
        <v>185</v>
      </c>
      <c r="B378" s="29"/>
      <c r="C378" s="29" t="s">
        <v>324</v>
      </c>
      <c r="D378" s="29" t="s">
        <v>324</v>
      </c>
      <c r="E378" s="29" t="s">
        <v>324</v>
      </c>
      <c r="F378" s="29"/>
      <c r="G378" s="29"/>
      <c r="H378" s="29"/>
      <c r="I378" s="29"/>
      <c r="J378" s="29" t="s">
        <v>887</v>
      </c>
      <c r="K378" s="30">
        <v>8691</v>
      </c>
      <c r="L378" s="32" t="s">
        <v>325</v>
      </c>
      <c r="M378" s="13">
        <f>SUM(B378:K379)</f>
        <v>36130</v>
      </c>
      <c r="N378" s="5"/>
      <c r="O378" s="5"/>
    </row>
    <row r="379" spans="1:15">
      <c r="A379" s="30"/>
      <c r="B379" s="30"/>
      <c r="C379" s="30">
        <v>22356</v>
      </c>
      <c r="D379" s="30">
        <v>1981</v>
      </c>
      <c r="E379" s="30">
        <v>2661</v>
      </c>
      <c r="F379" s="30"/>
      <c r="G379" s="30"/>
      <c r="H379" s="30"/>
      <c r="I379" s="30"/>
      <c r="J379" s="30">
        <v>441</v>
      </c>
      <c r="K379" s="30"/>
      <c r="L379" s="30"/>
      <c r="M379" s="13"/>
      <c r="N379" s="5"/>
      <c r="O379" s="5"/>
    </row>
    <row r="380" spans="1: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5"/>
      <c r="O380" s="5"/>
    </row>
    <row r="381" spans="1:15">
      <c r="A381" s="14" t="s">
        <v>7</v>
      </c>
      <c r="B381" s="15" t="s">
        <v>235</v>
      </c>
      <c r="C381" s="15" t="s">
        <v>443</v>
      </c>
      <c r="D381" s="15"/>
      <c r="E381" s="15"/>
      <c r="F381" s="15" t="s">
        <v>235</v>
      </c>
      <c r="G381" s="15"/>
      <c r="H381" s="15"/>
      <c r="I381" s="15"/>
      <c r="J381" s="15"/>
      <c r="K381" s="13">
        <v>1365</v>
      </c>
      <c r="L381" s="12" t="s">
        <v>236</v>
      </c>
      <c r="M381" s="13">
        <f>SUM(B381:K382)</f>
        <v>33281</v>
      </c>
      <c r="N381" s="5"/>
      <c r="O381" s="5"/>
    </row>
    <row r="382" spans="1:15">
      <c r="A382" s="13"/>
      <c r="B382" s="13">
        <v>17321</v>
      </c>
      <c r="C382" s="13">
        <v>10581</v>
      </c>
      <c r="D382" s="13"/>
      <c r="E382" s="13"/>
      <c r="F382" s="13">
        <v>4014</v>
      </c>
      <c r="G382" s="13"/>
      <c r="H382" s="13"/>
      <c r="I382" s="13"/>
      <c r="J382" s="13"/>
      <c r="K382" s="13"/>
      <c r="L382" s="13"/>
      <c r="M382" s="13"/>
      <c r="N382" s="5"/>
      <c r="O382" s="5"/>
    </row>
    <row r="383" spans="1: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5"/>
      <c r="O383" s="5"/>
    </row>
    <row r="384" spans="1:15">
      <c r="A384" s="33" t="s">
        <v>9</v>
      </c>
      <c r="B384" s="29" t="s">
        <v>444</v>
      </c>
      <c r="C384" s="32" t="s">
        <v>209</v>
      </c>
      <c r="D384" s="32" t="s">
        <v>209</v>
      </c>
      <c r="E384" s="32" t="s">
        <v>209</v>
      </c>
      <c r="F384" s="32" t="s">
        <v>444</v>
      </c>
      <c r="G384" s="32"/>
      <c r="H384" s="32"/>
      <c r="I384" s="32"/>
      <c r="J384" s="29"/>
      <c r="K384" s="30">
        <v>1227</v>
      </c>
      <c r="L384" s="32" t="s">
        <v>210</v>
      </c>
      <c r="M384" s="13">
        <f>SUM(B384:K385)</f>
        <v>43569</v>
      </c>
      <c r="N384" s="5"/>
      <c r="O384" s="5"/>
    </row>
    <row r="385" spans="1:15">
      <c r="A385" s="30"/>
      <c r="B385" s="30">
        <v>16714</v>
      </c>
      <c r="C385" s="30">
        <v>18688</v>
      </c>
      <c r="D385" s="30">
        <v>1239</v>
      </c>
      <c r="E385" s="30">
        <v>3396</v>
      </c>
      <c r="F385" s="30">
        <v>2305</v>
      </c>
      <c r="G385" s="30"/>
      <c r="H385" s="30"/>
      <c r="I385" s="30"/>
      <c r="J385" s="30"/>
      <c r="K385" s="30"/>
      <c r="L385" s="30"/>
      <c r="M385" s="13"/>
      <c r="N385" s="5"/>
      <c r="O385" s="5"/>
    </row>
    <row r="386" spans="1: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5"/>
      <c r="O386" s="5"/>
    </row>
    <row r="387" spans="1:15">
      <c r="A387" s="14" t="s">
        <v>15</v>
      </c>
      <c r="B387" s="15" t="s">
        <v>269</v>
      </c>
      <c r="C387" s="12" t="s">
        <v>888</v>
      </c>
      <c r="D387" s="12" t="s">
        <v>888</v>
      </c>
      <c r="E387" s="12" t="s">
        <v>888</v>
      </c>
      <c r="F387" s="12" t="s">
        <v>269</v>
      </c>
      <c r="G387" s="12"/>
      <c r="H387" s="12"/>
      <c r="I387" s="12"/>
      <c r="J387" s="15"/>
      <c r="K387" s="13">
        <v>760</v>
      </c>
      <c r="L387" s="12" t="s">
        <v>383</v>
      </c>
      <c r="M387" s="13">
        <f>SUM(B387:K388)</f>
        <v>44794</v>
      </c>
      <c r="N387" s="5"/>
      <c r="O387" s="5"/>
    </row>
    <row r="388" spans="1:15">
      <c r="A388" s="13"/>
      <c r="B388" s="13">
        <v>20891</v>
      </c>
      <c r="C388" s="13">
        <v>16209</v>
      </c>
      <c r="D388" s="13">
        <v>1066</v>
      </c>
      <c r="E388" s="13">
        <v>3539</v>
      </c>
      <c r="F388" s="13">
        <v>2329</v>
      </c>
      <c r="G388" s="13"/>
      <c r="H388" s="13"/>
      <c r="I388" s="13"/>
      <c r="J388" s="13"/>
      <c r="K388" s="13"/>
      <c r="L388" s="13"/>
      <c r="M388" s="13"/>
      <c r="N388" s="5"/>
      <c r="O388" s="5"/>
    </row>
    <row r="389" spans="1: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5"/>
      <c r="O389" s="5"/>
    </row>
    <row r="390" spans="1:15">
      <c r="A390" s="33" t="s">
        <v>17</v>
      </c>
      <c r="B390" s="29" t="s">
        <v>868</v>
      </c>
      <c r="C390" s="32" t="s">
        <v>889</v>
      </c>
      <c r="D390" s="29" t="s">
        <v>889</v>
      </c>
      <c r="E390" s="29" t="s">
        <v>889</v>
      </c>
      <c r="F390" s="32" t="s">
        <v>868</v>
      </c>
      <c r="G390" s="32"/>
      <c r="H390" s="32"/>
      <c r="I390" s="32"/>
      <c r="J390" s="29"/>
      <c r="K390" s="30">
        <v>1699</v>
      </c>
      <c r="L390" s="32" t="s">
        <v>890</v>
      </c>
      <c r="M390" s="13">
        <f>SUM(B390:K391)</f>
        <v>35758</v>
      </c>
      <c r="N390" s="5"/>
      <c r="O390" s="5"/>
    </row>
    <row r="391" spans="1:15">
      <c r="A391" s="30"/>
      <c r="B391" s="30">
        <v>17415</v>
      </c>
      <c r="C391" s="30">
        <v>11418</v>
      </c>
      <c r="D391" s="30">
        <v>1074</v>
      </c>
      <c r="E391" s="30">
        <v>2326</v>
      </c>
      <c r="F391" s="30">
        <v>1826</v>
      </c>
      <c r="G391" s="30"/>
      <c r="H391" s="30"/>
      <c r="I391" s="30"/>
      <c r="J391" s="30"/>
      <c r="K391" s="30"/>
      <c r="L391" s="30"/>
      <c r="M391" s="13"/>
      <c r="N391" s="5"/>
      <c r="O391" s="5"/>
    </row>
    <row r="392" spans="1: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5"/>
      <c r="O392" s="5"/>
    </row>
    <row r="393" spans="1:15">
      <c r="A393" s="14" t="s">
        <v>25</v>
      </c>
      <c r="B393" s="15" t="s">
        <v>191</v>
      </c>
      <c r="C393" s="12" t="s">
        <v>891</v>
      </c>
      <c r="D393" s="12" t="s">
        <v>191</v>
      </c>
      <c r="E393" s="12" t="s">
        <v>891</v>
      </c>
      <c r="F393" s="12" t="s">
        <v>191</v>
      </c>
      <c r="G393" s="12"/>
      <c r="H393" s="12"/>
      <c r="I393" s="12"/>
      <c r="J393" s="15"/>
      <c r="K393" s="13">
        <v>978</v>
      </c>
      <c r="L393" s="12" t="s">
        <v>192</v>
      </c>
      <c r="M393" s="13">
        <f>SUM(B393:K394)</f>
        <v>28418</v>
      </c>
      <c r="N393" s="5"/>
      <c r="O393" s="5"/>
    </row>
    <row r="394" spans="1:15">
      <c r="A394" s="13"/>
      <c r="B394" s="13">
        <v>16965</v>
      </c>
      <c r="C394" s="13">
        <v>5901</v>
      </c>
      <c r="D394" s="13">
        <v>1391</v>
      </c>
      <c r="E394" s="13">
        <v>1751</v>
      </c>
      <c r="F394" s="13">
        <v>1432</v>
      </c>
      <c r="G394" s="13"/>
      <c r="H394" s="13"/>
      <c r="I394" s="13"/>
      <c r="J394" s="13"/>
      <c r="K394" s="13"/>
      <c r="L394" s="13"/>
      <c r="M394" s="13"/>
      <c r="N394" s="5"/>
      <c r="O394" s="5"/>
    </row>
    <row r="395" spans="1: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5"/>
      <c r="O395" s="5"/>
    </row>
    <row r="396" spans="1:15">
      <c r="A396" s="33" t="s">
        <v>31</v>
      </c>
      <c r="B396" s="29"/>
      <c r="C396" s="32" t="s">
        <v>251</v>
      </c>
      <c r="D396" s="32"/>
      <c r="E396" s="32" t="s">
        <v>251</v>
      </c>
      <c r="F396" s="32"/>
      <c r="G396" s="32"/>
      <c r="H396" s="32"/>
      <c r="I396" s="32"/>
      <c r="J396" s="29"/>
      <c r="K396" s="30">
        <v>6688</v>
      </c>
      <c r="L396" s="32" t="s">
        <v>18</v>
      </c>
      <c r="M396" s="13">
        <f>SUM(B396:K397)</f>
        <v>36056</v>
      </c>
      <c r="N396" s="5"/>
      <c r="O396" s="5"/>
    </row>
    <row r="397" spans="1:15">
      <c r="A397" s="30"/>
      <c r="B397" s="30"/>
      <c r="C397" s="30">
        <v>23278</v>
      </c>
      <c r="D397" s="30"/>
      <c r="E397" s="30">
        <v>6090</v>
      </c>
      <c r="F397" s="30"/>
      <c r="G397" s="30"/>
      <c r="H397" s="30"/>
      <c r="I397" s="30"/>
      <c r="J397" s="30"/>
      <c r="K397" s="30"/>
      <c r="L397" s="30"/>
      <c r="M397" s="13"/>
      <c r="N397" s="5"/>
      <c r="O397" s="5"/>
    </row>
    <row r="398" spans="1: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5"/>
      <c r="O398" s="5"/>
    </row>
    <row r="399" spans="1:15">
      <c r="A399" s="14" t="s">
        <v>35</v>
      </c>
      <c r="B399" s="15"/>
      <c r="C399" s="12" t="s">
        <v>211</v>
      </c>
      <c r="D399" s="12"/>
      <c r="E399" s="12" t="s">
        <v>211</v>
      </c>
      <c r="F399" s="12"/>
      <c r="G399" s="12"/>
      <c r="H399" s="12"/>
      <c r="I399" s="12"/>
      <c r="J399" s="15"/>
      <c r="K399" s="13">
        <v>8269</v>
      </c>
      <c r="L399" s="12" t="s">
        <v>212</v>
      </c>
      <c r="M399" s="13">
        <f>SUM(B399:K400)</f>
        <v>39597</v>
      </c>
      <c r="N399" s="5"/>
      <c r="O399" s="5"/>
    </row>
    <row r="400" spans="1:15">
      <c r="A400" s="13"/>
      <c r="B400" s="13"/>
      <c r="C400" s="13">
        <v>25754</v>
      </c>
      <c r="D400" s="13"/>
      <c r="E400" s="13">
        <v>5574</v>
      </c>
      <c r="F400" s="13"/>
      <c r="G400" s="13"/>
      <c r="H400" s="13"/>
      <c r="I400" s="13"/>
      <c r="J400" s="13"/>
      <c r="K400" s="13"/>
      <c r="L400" s="13"/>
      <c r="M400" s="13"/>
      <c r="N400" s="5"/>
      <c r="O400" s="5"/>
    </row>
    <row r="401" spans="1: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>
      <c r="A402" s="30" t="s">
        <v>44</v>
      </c>
      <c r="B402" s="29"/>
      <c r="C402" s="29" t="s">
        <v>323</v>
      </c>
      <c r="D402" s="29" t="s">
        <v>323</v>
      </c>
      <c r="E402" s="29" t="s">
        <v>323</v>
      </c>
      <c r="F402" s="29"/>
      <c r="G402" s="29"/>
      <c r="H402" s="29"/>
      <c r="I402" s="29"/>
      <c r="J402" s="30"/>
      <c r="K402" s="30">
        <v>8127</v>
      </c>
      <c r="L402" s="29" t="s">
        <v>445</v>
      </c>
      <c r="M402" s="13">
        <f>SUM(B402:K403)</f>
        <v>39388</v>
      </c>
      <c r="N402" s="13"/>
      <c r="O402" s="5"/>
    </row>
    <row r="403" spans="1:15">
      <c r="A403" s="30"/>
      <c r="B403" s="30"/>
      <c r="C403" s="30">
        <v>24872</v>
      </c>
      <c r="D403" s="30">
        <v>2898</v>
      </c>
      <c r="E403" s="30">
        <v>3491</v>
      </c>
      <c r="F403" s="30"/>
      <c r="G403" s="30"/>
      <c r="H403" s="30"/>
      <c r="I403" s="30"/>
      <c r="J403" s="30"/>
      <c r="K403" s="30"/>
      <c r="L403" s="30"/>
      <c r="M403" s="13"/>
      <c r="N403" s="13"/>
      <c r="O403" s="5"/>
    </row>
    <row r="404" spans="1: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5"/>
    </row>
    <row r="405" spans="1:15">
      <c r="A405" s="13" t="s">
        <v>49</v>
      </c>
      <c r="B405" s="15"/>
      <c r="C405" s="15" t="s">
        <v>892</v>
      </c>
      <c r="D405" s="15"/>
      <c r="E405" s="15" t="s">
        <v>892</v>
      </c>
      <c r="F405" s="15"/>
      <c r="G405" s="15"/>
      <c r="H405" s="15"/>
      <c r="I405" s="15"/>
      <c r="J405" s="15"/>
      <c r="K405" s="13">
        <v>11338</v>
      </c>
      <c r="L405" s="15" t="s">
        <v>893</v>
      </c>
      <c r="M405" s="13">
        <f>SUM(B405:K406)</f>
        <v>43140</v>
      </c>
      <c r="N405" s="13"/>
      <c r="O405" s="5"/>
    </row>
    <row r="406" spans="1:15">
      <c r="A406" s="13"/>
      <c r="B406" s="13"/>
      <c r="C406" s="13">
        <v>26259</v>
      </c>
      <c r="D406" s="13"/>
      <c r="E406" s="13">
        <v>5543</v>
      </c>
      <c r="F406" s="13"/>
      <c r="G406" s="13"/>
      <c r="H406" s="13"/>
      <c r="I406" s="13"/>
      <c r="J406" s="13"/>
      <c r="K406" s="13"/>
      <c r="L406" s="13"/>
      <c r="M406" s="13"/>
      <c r="N406" s="13"/>
      <c r="O406" s="5"/>
    </row>
    <row r="407" spans="1: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5"/>
    </row>
    <row r="408" spans="1:15">
      <c r="A408" s="30" t="s">
        <v>57</v>
      </c>
      <c r="B408" s="29" t="s">
        <v>894</v>
      </c>
      <c r="C408" s="29" t="s">
        <v>446</v>
      </c>
      <c r="D408" s="29" t="s">
        <v>446</v>
      </c>
      <c r="E408" s="29" t="s">
        <v>446</v>
      </c>
      <c r="F408" s="29" t="s">
        <v>894</v>
      </c>
      <c r="G408" s="29"/>
      <c r="H408" s="29"/>
      <c r="I408" s="29"/>
      <c r="J408" s="29"/>
      <c r="K408" s="30">
        <v>2539</v>
      </c>
      <c r="L408" s="29" t="s">
        <v>447</v>
      </c>
      <c r="M408" s="13">
        <f>SUM(B408:K409)</f>
        <v>38361</v>
      </c>
      <c r="N408" s="13"/>
      <c r="O408" s="5"/>
    </row>
    <row r="409" spans="1:15">
      <c r="A409" s="30"/>
      <c r="B409" s="30">
        <v>10378</v>
      </c>
      <c r="C409" s="30">
        <v>18226</v>
      </c>
      <c r="D409" s="30">
        <v>1050</v>
      </c>
      <c r="E409" s="30">
        <v>4993</v>
      </c>
      <c r="F409" s="30">
        <v>1175</v>
      </c>
      <c r="G409" s="30"/>
      <c r="H409" s="30"/>
      <c r="I409" s="30"/>
      <c r="J409" s="30"/>
      <c r="K409" s="30"/>
      <c r="L409" s="30"/>
      <c r="M409" s="13"/>
      <c r="N409" s="13"/>
      <c r="O409" s="5"/>
    </row>
    <row r="410" spans="1: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5"/>
    </row>
    <row r="411" spans="1:15">
      <c r="A411" s="13" t="s">
        <v>60</v>
      </c>
      <c r="B411" s="15"/>
      <c r="C411" s="15" t="s">
        <v>321</v>
      </c>
      <c r="D411" s="15" t="s">
        <v>321</v>
      </c>
      <c r="E411" s="15" t="s">
        <v>321</v>
      </c>
      <c r="F411" s="15" t="s">
        <v>321</v>
      </c>
      <c r="G411" s="15"/>
      <c r="H411" s="15"/>
      <c r="I411" s="15"/>
      <c r="J411" s="15"/>
      <c r="K411" s="13">
        <v>10559</v>
      </c>
      <c r="L411" s="15" t="s">
        <v>322</v>
      </c>
      <c r="M411" s="13">
        <f>SUM(B411:K412)</f>
        <v>48379</v>
      </c>
      <c r="N411" s="13"/>
      <c r="O411" s="5"/>
    </row>
    <row r="412" spans="1:15">
      <c r="A412" s="13"/>
      <c r="B412" s="13"/>
      <c r="C412" s="13">
        <v>26468</v>
      </c>
      <c r="D412" s="13">
        <v>3824</v>
      </c>
      <c r="E412" s="13">
        <v>5197</v>
      </c>
      <c r="F412" s="13">
        <v>2331</v>
      </c>
      <c r="G412" s="13"/>
      <c r="H412" s="13"/>
      <c r="I412" s="13"/>
      <c r="J412" s="13"/>
      <c r="K412" s="13"/>
      <c r="L412" s="13"/>
      <c r="M412" s="13"/>
      <c r="N412" s="13"/>
      <c r="O412" s="5"/>
    </row>
    <row r="413" spans="1: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5"/>
    </row>
    <row r="414" spans="1:15">
      <c r="A414" s="30" t="s">
        <v>66</v>
      </c>
      <c r="B414" s="29" t="s">
        <v>194</v>
      </c>
      <c r="C414" s="29"/>
      <c r="D414" s="29" t="s">
        <v>194</v>
      </c>
      <c r="E414" s="29"/>
      <c r="F414" s="29"/>
      <c r="G414" s="29"/>
      <c r="H414" s="29"/>
      <c r="I414" s="29"/>
      <c r="J414" s="29"/>
      <c r="K414" s="30">
        <v>11463</v>
      </c>
      <c r="L414" s="29" t="s">
        <v>45</v>
      </c>
      <c r="M414" s="13">
        <f>SUM(B414:K415)</f>
        <v>38624</v>
      </c>
      <c r="N414" s="13"/>
      <c r="O414" s="5"/>
    </row>
    <row r="415" spans="1:15">
      <c r="A415" s="30"/>
      <c r="B415" s="30">
        <v>22662</v>
      </c>
      <c r="C415" s="30"/>
      <c r="D415" s="30">
        <v>4499</v>
      </c>
      <c r="E415" s="30"/>
      <c r="F415" s="30"/>
      <c r="G415" s="30"/>
      <c r="H415" s="30"/>
      <c r="I415" s="30"/>
      <c r="J415" s="30"/>
      <c r="K415" s="30"/>
      <c r="L415" s="30"/>
      <c r="M415" s="13"/>
      <c r="N415" s="13"/>
      <c r="O415" s="5"/>
    </row>
    <row r="416" spans="1: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5"/>
    </row>
    <row r="417" spans="1:15">
      <c r="A417" s="13" t="s">
        <v>74</v>
      </c>
      <c r="B417" s="15" t="s">
        <v>195</v>
      </c>
      <c r="C417" s="15"/>
      <c r="D417" s="15"/>
      <c r="E417" s="15"/>
      <c r="F417" s="15"/>
      <c r="G417" s="15"/>
      <c r="H417" s="15"/>
      <c r="I417" s="15"/>
      <c r="J417" s="15" t="s">
        <v>895</v>
      </c>
      <c r="K417" s="13">
        <v>4837</v>
      </c>
      <c r="L417" s="15" t="s">
        <v>50</v>
      </c>
      <c r="M417" s="13">
        <f>SUM(B417:K418)</f>
        <v>21747</v>
      </c>
      <c r="N417" s="13"/>
      <c r="O417" s="5"/>
    </row>
    <row r="418" spans="1:15">
      <c r="A418" s="13"/>
      <c r="B418" s="13">
        <v>13288</v>
      </c>
      <c r="C418" s="13"/>
      <c r="D418" s="13"/>
      <c r="E418" s="13"/>
      <c r="F418" s="13"/>
      <c r="G418" s="13"/>
      <c r="H418" s="13"/>
      <c r="I418" s="13"/>
      <c r="J418" s="13">
        <v>3622</v>
      </c>
      <c r="K418" s="13"/>
      <c r="L418" s="13"/>
      <c r="M418" s="13"/>
      <c r="N418" s="13"/>
      <c r="O418" s="5"/>
    </row>
    <row r="419" spans="1: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5"/>
    </row>
    <row r="420" spans="1:15">
      <c r="A420" s="30" t="s">
        <v>81</v>
      </c>
      <c r="B420" s="29" t="s">
        <v>319</v>
      </c>
      <c r="C420" s="29" t="s">
        <v>896</v>
      </c>
      <c r="D420" s="29" t="s">
        <v>319</v>
      </c>
      <c r="E420" s="29" t="s">
        <v>896</v>
      </c>
      <c r="F420" s="29" t="s">
        <v>319</v>
      </c>
      <c r="G420" s="29"/>
      <c r="H420" s="29"/>
      <c r="I420" s="29"/>
      <c r="J420" s="29"/>
      <c r="K420" s="30">
        <v>1591</v>
      </c>
      <c r="L420" s="29" t="s">
        <v>320</v>
      </c>
      <c r="M420" s="13">
        <f>SUM(B420:K421)</f>
        <v>30974</v>
      </c>
      <c r="N420" s="13"/>
      <c r="O420" s="5"/>
    </row>
    <row r="421" spans="1:15">
      <c r="A421" s="30"/>
      <c r="B421" s="30">
        <v>13788</v>
      </c>
      <c r="C421" s="30">
        <v>9899</v>
      </c>
      <c r="D421" s="30">
        <v>1060</v>
      </c>
      <c r="E421" s="30">
        <v>2891</v>
      </c>
      <c r="F421" s="30">
        <v>1745</v>
      </c>
      <c r="G421" s="30"/>
      <c r="H421" s="30"/>
      <c r="I421" s="30"/>
      <c r="J421" s="30"/>
      <c r="K421" s="30"/>
      <c r="L421" s="30"/>
      <c r="M421" s="13"/>
      <c r="N421" s="13"/>
      <c r="O421" s="5"/>
    </row>
    <row r="422" spans="1: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5"/>
    </row>
    <row r="423" spans="1:15">
      <c r="A423" s="13" t="s">
        <v>86</v>
      </c>
      <c r="B423" s="15"/>
      <c r="C423" s="15" t="s">
        <v>254</v>
      </c>
      <c r="D423" s="15" t="s">
        <v>254</v>
      </c>
      <c r="E423" s="15" t="s">
        <v>254</v>
      </c>
      <c r="F423" s="15"/>
      <c r="G423" s="15"/>
      <c r="H423" s="15"/>
      <c r="I423" s="15" t="s">
        <v>744</v>
      </c>
      <c r="J423" s="15"/>
      <c r="K423" s="13">
        <v>4384</v>
      </c>
      <c r="L423" s="15" t="s">
        <v>255</v>
      </c>
      <c r="M423" s="13">
        <f>SUM(B423:K424)</f>
        <v>34917</v>
      </c>
      <c r="N423" s="13"/>
      <c r="O423" s="5"/>
    </row>
    <row r="424" spans="1:15">
      <c r="A424" s="13"/>
      <c r="B424" s="13"/>
      <c r="C424" s="13">
        <v>21910</v>
      </c>
      <c r="D424" s="13">
        <v>2325</v>
      </c>
      <c r="E424" s="13">
        <v>4935</v>
      </c>
      <c r="F424" s="13"/>
      <c r="G424" s="13"/>
      <c r="H424" s="13"/>
      <c r="I424" s="13">
        <v>1363</v>
      </c>
      <c r="J424" s="13"/>
      <c r="K424" s="13"/>
      <c r="L424" s="13"/>
      <c r="M424" s="13"/>
      <c r="N424" s="13"/>
      <c r="O424" s="5"/>
    </row>
    <row r="425" spans="1: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5"/>
    </row>
    <row r="426" spans="1:15">
      <c r="A426" s="30" t="s">
        <v>284</v>
      </c>
      <c r="B426" s="29" t="s">
        <v>193</v>
      </c>
      <c r="C426" s="29" t="s">
        <v>897</v>
      </c>
      <c r="D426" s="29" t="s">
        <v>193</v>
      </c>
      <c r="E426" s="29" t="s">
        <v>193</v>
      </c>
      <c r="F426" s="29"/>
      <c r="G426" s="29"/>
      <c r="H426" s="29"/>
      <c r="I426" s="29"/>
      <c r="J426" s="29"/>
      <c r="K426" s="30">
        <v>2535</v>
      </c>
      <c r="L426" s="29" t="s">
        <v>196</v>
      </c>
      <c r="M426" s="13">
        <f>SUM(B426:K427)</f>
        <v>35429</v>
      </c>
      <c r="N426" s="13"/>
      <c r="O426" s="5"/>
    </row>
    <row r="427" spans="1:15">
      <c r="A427" s="30"/>
      <c r="B427" s="30">
        <v>17896</v>
      </c>
      <c r="C427" s="30">
        <v>8736</v>
      </c>
      <c r="D427" s="30">
        <v>2426</v>
      </c>
      <c r="E427" s="30">
        <v>3836</v>
      </c>
      <c r="F427" s="30"/>
      <c r="G427" s="30"/>
      <c r="H427" s="30"/>
      <c r="I427" s="30"/>
      <c r="J427" s="30"/>
      <c r="K427" s="30"/>
      <c r="L427" s="30"/>
      <c r="M427" s="13"/>
      <c r="N427" s="13"/>
      <c r="O427" s="5"/>
    </row>
    <row r="428" spans="1: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5"/>
    </row>
    <row r="429" spans="1:15">
      <c r="A429" s="13" t="s">
        <v>100</v>
      </c>
      <c r="B429" s="15" t="s">
        <v>898</v>
      </c>
      <c r="C429" s="15"/>
      <c r="D429" s="15"/>
      <c r="E429" s="15"/>
      <c r="F429" s="15" t="s">
        <v>898</v>
      </c>
      <c r="G429" s="15"/>
      <c r="H429" s="15"/>
      <c r="I429" s="15"/>
      <c r="J429" s="15"/>
      <c r="K429" s="13">
        <v>4386</v>
      </c>
      <c r="L429" s="15" t="s">
        <v>899</v>
      </c>
      <c r="M429" s="13">
        <f>SUM(B429:K430)</f>
        <v>23985</v>
      </c>
      <c r="N429" s="13"/>
      <c r="O429" s="5"/>
    </row>
    <row r="430" spans="1:15">
      <c r="A430" s="13"/>
      <c r="B430" s="13">
        <v>17962</v>
      </c>
      <c r="C430" s="13"/>
      <c r="D430" s="13"/>
      <c r="E430" s="13"/>
      <c r="F430" s="13">
        <v>1637</v>
      </c>
      <c r="G430" s="13"/>
      <c r="H430" s="13"/>
      <c r="I430" s="13"/>
      <c r="J430" s="13"/>
      <c r="K430" s="13"/>
      <c r="L430" s="13"/>
      <c r="M430" s="13"/>
      <c r="N430" s="13"/>
      <c r="O430" s="5"/>
    </row>
    <row r="431" spans="1: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5"/>
    </row>
    <row r="432" spans="1:15">
      <c r="A432" s="30" t="s">
        <v>105</v>
      </c>
      <c r="B432" s="29" t="s">
        <v>384</v>
      </c>
      <c r="C432" s="29" t="s">
        <v>384</v>
      </c>
      <c r="D432" s="29" t="s">
        <v>384</v>
      </c>
      <c r="E432" s="29" t="s">
        <v>384</v>
      </c>
      <c r="F432" s="29"/>
      <c r="G432" s="29"/>
      <c r="H432" s="29"/>
      <c r="I432" s="29"/>
      <c r="J432" s="29"/>
      <c r="K432" s="30">
        <v>3652</v>
      </c>
      <c r="L432" s="29" t="s">
        <v>385</v>
      </c>
      <c r="M432" s="13">
        <f>SUM(B432:K433)</f>
        <v>36101</v>
      </c>
      <c r="N432" s="13"/>
      <c r="O432" s="5"/>
    </row>
    <row r="433" spans="1:15">
      <c r="A433" s="30"/>
      <c r="B433" s="30">
        <v>16651</v>
      </c>
      <c r="C433" s="30">
        <v>9840</v>
      </c>
      <c r="D433" s="30">
        <v>2082</v>
      </c>
      <c r="E433" s="30">
        <v>3876</v>
      </c>
      <c r="F433" s="30"/>
      <c r="G433" s="30"/>
      <c r="H433" s="30"/>
      <c r="I433" s="30"/>
      <c r="J433" s="30"/>
      <c r="K433" s="30"/>
      <c r="L433" s="30"/>
      <c r="M433" s="13"/>
      <c r="N433" s="13"/>
      <c r="O433" s="5"/>
    </row>
    <row r="434" spans="1: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5"/>
    </row>
    <row r="435" spans="1:15">
      <c r="A435" s="13" t="s">
        <v>115</v>
      </c>
      <c r="B435" s="15" t="s">
        <v>900</v>
      </c>
      <c r="C435" s="15" t="s">
        <v>901</v>
      </c>
      <c r="D435" s="15" t="s">
        <v>901</v>
      </c>
      <c r="E435" s="15" t="s">
        <v>901</v>
      </c>
      <c r="F435" s="15" t="s">
        <v>902</v>
      </c>
      <c r="G435" s="15"/>
      <c r="H435" s="15"/>
      <c r="I435" s="15"/>
      <c r="J435" s="15"/>
      <c r="K435" s="13">
        <v>2260</v>
      </c>
      <c r="L435" s="15" t="s">
        <v>903</v>
      </c>
      <c r="M435" s="13">
        <f>SUM(B435:K436)</f>
        <v>35241</v>
      </c>
      <c r="N435" s="13"/>
      <c r="O435" s="5"/>
    </row>
    <row r="436" spans="1:15">
      <c r="A436" s="13"/>
      <c r="B436" s="13">
        <v>11891</v>
      </c>
      <c r="C436" s="13">
        <v>13608</v>
      </c>
      <c r="D436" s="13">
        <v>1881</v>
      </c>
      <c r="E436" s="13">
        <v>4055</v>
      </c>
      <c r="F436" s="13">
        <v>1546</v>
      </c>
      <c r="G436" s="13"/>
      <c r="H436" s="13"/>
      <c r="I436" s="13"/>
      <c r="J436" s="13"/>
      <c r="K436" s="13"/>
      <c r="L436" s="13"/>
      <c r="M436" s="13"/>
      <c r="N436" s="13"/>
      <c r="O436" s="5"/>
    </row>
    <row r="437" spans="1: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5"/>
    </row>
    <row r="438" spans="1:15">
      <c r="A438" s="30" t="s">
        <v>123</v>
      </c>
      <c r="B438" s="29"/>
      <c r="C438" s="29" t="s">
        <v>904</v>
      </c>
      <c r="D438" s="29" t="s">
        <v>904</v>
      </c>
      <c r="E438" s="29" t="s">
        <v>904</v>
      </c>
      <c r="F438" s="29"/>
      <c r="G438" s="29"/>
      <c r="H438" s="29"/>
      <c r="I438" s="29"/>
      <c r="J438" s="29"/>
      <c r="K438" s="30">
        <v>7963</v>
      </c>
      <c r="L438" s="29" t="s">
        <v>905</v>
      </c>
      <c r="M438" s="13">
        <f>SUM(B438:K439)</f>
        <v>37424</v>
      </c>
      <c r="N438" s="13"/>
      <c r="O438" s="5"/>
    </row>
    <row r="439" spans="1:15">
      <c r="A439" s="30"/>
      <c r="B439" s="30"/>
      <c r="C439" s="30">
        <v>20551</v>
      </c>
      <c r="D439" s="30">
        <v>3366</v>
      </c>
      <c r="E439" s="30">
        <v>5544</v>
      </c>
      <c r="F439" s="30"/>
      <c r="G439" s="30"/>
      <c r="H439" s="30"/>
      <c r="I439" s="30"/>
      <c r="J439" s="30"/>
      <c r="K439" s="30"/>
      <c r="L439" s="30"/>
      <c r="M439" s="13"/>
      <c r="N439" s="13"/>
      <c r="O439" s="5"/>
    </row>
    <row r="440" spans="1: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5"/>
    </row>
    <row r="441" spans="1:15">
      <c r="A441" s="13" t="s">
        <v>129</v>
      </c>
      <c r="B441" s="15"/>
      <c r="C441" s="15" t="s">
        <v>326</v>
      </c>
      <c r="D441" s="15" t="s">
        <v>326</v>
      </c>
      <c r="E441" s="15" t="s">
        <v>326</v>
      </c>
      <c r="F441" s="15"/>
      <c r="G441" s="15"/>
      <c r="H441" s="15"/>
      <c r="I441" s="15"/>
      <c r="J441" s="15"/>
      <c r="K441" s="13">
        <v>10385</v>
      </c>
      <c r="L441" s="15" t="s">
        <v>906</v>
      </c>
      <c r="M441" s="13">
        <f>SUM(B441:K442)</f>
        <v>33625</v>
      </c>
      <c r="N441" s="13"/>
      <c r="O441" s="5"/>
    </row>
    <row r="442" spans="1:15">
      <c r="A442" s="13"/>
      <c r="B442" s="13"/>
      <c r="C442" s="13">
        <v>15986</v>
      </c>
      <c r="D442" s="13">
        <v>3352</v>
      </c>
      <c r="E442" s="13">
        <v>3902</v>
      </c>
      <c r="F442" s="13"/>
      <c r="G442" s="13"/>
      <c r="H442" s="13"/>
      <c r="I442" s="13"/>
      <c r="J442" s="13"/>
      <c r="K442" s="13"/>
      <c r="L442" s="13"/>
      <c r="M442" s="13"/>
      <c r="N442" s="13"/>
      <c r="O442" s="5"/>
    </row>
    <row r="443" spans="1: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5"/>
    </row>
    <row r="444" spans="1:15">
      <c r="A444" s="30" t="s">
        <v>135</v>
      </c>
      <c r="B444" s="29" t="s">
        <v>448</v>
      </c>
      <c r="C444" s="29" t="s">
        <v>386</v>
      </c>
      <c r="D444" s="29" t="s">
        <v>386</v>
      </c>
      <c r="E444" s="29" t="s">
        <v>386</v>
      </c>
      <c r="F444" s="29" t="s">
        <v>448</v>
      </c>
      <c r="G444" s="29"/>
      <c r="H444" s="29"/>
      <c r="I444" s="29"/>
      <c r="J444" s="29" t="s">
        <v>907</v>
      </c>
      <c r="K444" s="30">
        <v>2180</v>
      </c>
      <c r="L444" s="29" t="s">
        <v>387</v>
      </c>
      <c r="M444" s="13">
        <f>SUM(B444:K445)</f>
        <v>37673</v>
      </c>
      <c r="N444" s="13"/>
      <c r="O444" s="5"/>
    </row>
    <row r="445" spans="1:15">
      <c r="A445" s="30"/>
      <c r="B445" s="30">
        <v>12956</v>
      </c>
      <c r="C445" s="30">
        <v>15316</v>
      </c>
      <c r="D445" s="30">
        <v>1432</v>
      </c>
      <c r="E445" s="30">
        <v>3905</v>
      </c>
      <c r="F445" s="30">
        <v>1685</v>
      </c>
      <c r="G445" s="30"/>
      <c r="H445" s="30"/>
      <c r="I445" s="30"/>
      <c r="J445" s="30">
        <v>199</v>
      </c>
      <c r="K445" s="30"/>
      <c r="L445" s="30"/>
      <c r="M445" s="13"/>
      <c r="N445" s="13"/>
      <c r="O445" s="5"/>
    </row>
    <row r="446" spans="1: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5"/>
    </row>
    <row r="447" spans="1:15">
      <c r="A447" s="13" t="s">
        <v>143</v>
      </c>
      <c r="B447" s="15"/>
      <c r="C447" s="15" t="s">
        <v>388</v>
      </c>
      <c r="D447" s="15"/>
      <c r="E447" s="15" t="s">
        <v>388</v>
      </c>
      <c r="F447" s="15"/>
      <c r="G447" s="15"/>
      <c r="H447" s="15"/>
      <c r="I447" s="15"/>
      <c r="J447" s="15"/>
      <c r="K447" s="13">
        <v>9590</v>
      </c>
      <c r="L447" s="15" t="s">
        <v>389</v>
      </c>
      <c r="M447" s="13">
        <f>SUM(B447:K448)</f>
        <v>43090</v>
      </c>
      <c r="N447" s="13"/>
      <c r="O447" s="5"/>
    </row>
    <row r="448" spans="1:15">
      <c r="A448" s="13"/>
      <c r="B448" s="13"/>
      <c r="C448" s="13">
        <v>24712</v>
      </c>
      <c r="D448" s="13"/>
      <c r="E448" s="13">
        <v>8788</v>
      </c>
      <c r="F448" s="13"/>
      <c r="G448" s="13"/>
      <c r="H448" s="13"/>
      <c r="I448" s="13"/>
      <c r="J448" s="13"/>
      <c r="K448" s="13"/>
      <c r="L448" s="13"/>
      <c r="M448" s="13"/>
      <c r="N448" s="13"/>
      <c r="O448" s="5"/>
    </row>
    <row r="449" spans="1: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5"/>
    </row>
    <row r="450" spans="1:15">
      <c r="A450" s="30" t="s">
        <v>149</v>
      </c>
      <c r="B450" s="29"/>
      <c r="C450" s="29" t="s">
        <v>258</v>
      </c>
      <c r="D450" s="29" t="s">
        <v>258</v>
      </c>
      <c r="E450" s="29" t="s">
        <v>258</v>
      </c>
      <c r="F450" s="29"/>
      <c r="G450" s="29"/>
      <c r="H450" s="29"/>
      <c r="I450" s="29"/>
      <c r="J450" s="29"/>
      <c r="K450" s="30">
        <v>6347</v>
      </c>
      <c r="L450" s="29" t="s">
        <v>259</v>
      </c>
      <c r="M450" s="13">
        <f>SUM(B450:K451)</f>
        <v>33481</v>
      </c>
      <c r="N450" s="13"/>
      <c r="O450" s="5"/>
    </row>
    <row r="451" spans="1:15">
      <c r="A451" s="30"/>
      <c r="B451" s="30"/>
      <c r="C451" s="30">
        <v>21263</v>
      </c>
      <c r="D451" s="30">
        <v>2422</v>
      </c>
      <c r="E451" s="30">
        <v>3449</v>
      </c>
      <c r="F451" s="30"/>
      <c r="G451" s="30"/>
      <c r="H451" s="30"/>
      <c r="I451" s="30"/>
      <c r="J451" s="30"/>
      <c r="K451" s="30"/>
      <c r="L451" s="30"/>
      <c r="M451" s="13"/>
      <c r="N451" s="13"/>
      <c r="O451" s="5"/>
    </row>
    <row r="452" spans="1: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5"/>
    </row>
    <row r="453" spans="1:15">
      <c r="A453" s="13" t="s">
        <v>155</v>
      </c>
      <c r="B453" s="15" t="s">
        <v>390</v>
      </c>
      <c r="C453" s="15" t="s">
        <v>908</v>
      </c>
      <c r="D453" s="15" t="s">
        <v>390</v>
      </c>
      <c r="E453" s="15"/>
      <c r="F453" s="15" t="s">
        <v>390</v>
      </c>
      <c r="G453" s="15"/>
      <c r="H453" s="15" t="s">
        <v>923</v>
      </c>
      <c r="I453" s="15"/>
      <c r="J453" s="15"/>
      <c r="K453" s="13">
        <v>3103</v>
      </c>
      <c r="L453" s="15" t="s">
        <v>391</v>
      </c>
      <c r="M453" s="13">
        <f>SUM(B453:K454)</f>
        <v>31414</v>
      </c>
      <c r="N453" s="13"/>
      <c r="O453" s="5"/>
    </row>
    <row r="454" spans="1:15">
      <c r="A454" s="13"/>
      <c r="B454" s="13">
        <v>15067</v>
      </c>
      <c r="C454" s="13">
        <v>8216</v>
      </c>
      <c r="D454" s="13">
        <v>1895</v>
      </c>
      <c r="E454" s="13"/>
      <c r="F454" s="13">
        <v>2281</v>
      </c>
      <c r="G454" s="13"/>
      <c r="H454" s="13">
        <v>852</v>
      </c>
      <c r="I454" s="13"/>
      <c r="J454" s="13"/>
      <c r="K454" s="13"/>
      <c r="L454" s="13"/>
      <c r="M454" s="13"/>
      <c r="N454" s="13"/>
      <c r="O454" s="5"/>
    </row>
    <row r="455" spans="1: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5"/>
    </row>
    <row r="456" spans="1:15">
      <c r="A456" s="30" t="s">
        <v>162</v>
      </c>
      <c r="B456" s="29" t="s">
        <v>909</v>
      </c>
      <c r="C456" s="29" t="s">
        <v>327</v>
      </c>
      <c r="D456" s="29" t="s">
        <v>327</v>
      </c>
      <c r="E456" s="29" t="s">
        <v>327</v>
      </c>
      <c r="F456" s="29" t="s">
        <v>909</v>
      </c>
      <c r="G456" s="29"/>
      <c r="H456" s="29"/>
      <c r="I456" s="29"/>
      <c r="J456" s="29"/>
      <c r="K456" s="30">
        <v>1199</v>
      </c>
      <c r="L456" s="29" t="s">
        <v>328</v>
      </c>
      <c r="M456" s="13">
        <f>SUM(B456:K457)</f>
        <v>35169</v>
      </c>
      <c r="N456" s="13"/>
      <c r="O456" s="5"/>
    </row>
    <row r="457" spans="1:15">
      <c r="A457" s="30"/>
      <c r="B457" s="30">
        <v>7446</v>
      </c>
      <c r="C457" s="30">
        <v>19987</v>
      </c>
      <c r="D457" s="30">
        <v>2016</v>
      </c>
      <c r="E457" s="30">
        <v>3345</v>
      </c>
      <c r="F457" s="30">
        <v>1176</v>
      </c>
      <c r="G457" s="30"/>
      <c r="H457" s="30"/>
      <c r="I457" s="30"/>
      <c r="J457" s="30"/>
      <c r="K457" s="30"/>
      <c r="L457" s="30"/>
      <c r="M457" s="13"/>
      <c r="N457" s="13"/>
      <c r="O457" s="5"/>
    </row>
    <row r="458" spans="1:1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3"/>
      <c r="N458" s="13"/>
      <c r="O458" s="5"/>
    </row>
    <row r="459" spans="1:15">
      <c r="A459" s="19" t="s">
        <v>171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5"/>
    </row>
    <row r="460" spans="1:15">
      <c r="A460" s="20" t="s">
        <v>910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5"/>
    </row>
    <row r="461" spans="1:15">
      <c r="A461" s="20" t="s">
        <v>911</v>
      </c>
      <c r="B461" s="21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5"/>
    </row>
    <row r="462" spans="1:15">
      <c r="A462" s="20" t="s">
        <v>912</v>
      </c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5"/>
    </row>
    <row r="463" spans="1:15">
      <c r="A463" s="20" t="s">
        <v>913</v>
      </c>
      <c r="B463" s="21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5"/>
    </row>
    <row r="464" spans="1:15">
      <c r="A464" s="20" t="s">
        <v>914</v>
      </c>
      <c r="B464" s="21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5"/>
    </row>
    <row r="465" spans="1:15">
      <c r="A465" s="20" t="s">
        <v>915</v>
      </c>
      <c r="B465" s="21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5"/>
    </row>
    <row r="466" spans="1:15">
      <c r="A466" s="20" t="s">
        <v>916</v>
      </c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5"/>
    </row>
    <row r="467" spans="1:15">
      <c r="A467" s="21" t="s">
        <v>917</v>
      </c>
      <c r="B467" s="21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5"/>
    </row>
    <row r="468" spans="1:15">
      <c r="A468" s="21" t="s">
        <v>329</v>
      </c>
      <c r="B468" s="21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5"/>
    </row>
    <row r="469" spans="1:15">
      <c r="A469" s="21" t="s">
        <v>918</v>
      </c>
      <c r="B469" s="21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5"/>
    </row>
    <row r="470" spans="1:15">
      <c r="A470" s="21" t="s">
        <v>919</v>
      </c>
      <c r="B470" s="21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5"/>
    </row>
    <row r="471" spans="1:15">
      <c r="A471" s="21" t="s">
        <v>920</v>
      </c>
      <c r="B471" s="21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5"/>
    </row>
    <row r="472" spans="1: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5"/>
    </row>
    <row r="473" spans="1:15">
      <c r="A473" s="56" t="s">
        <v>921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5"/>
    </row>
    <row r="474" spans="1: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5"/>
    </row>
    <row r="475" spans="1: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5"/>
    </row>
    <row r="476" spans="1: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5"/>
    </row>
    <row r="477" spans="1: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5"/>
    </row>
    <row r="478" spans="1: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1: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1: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1: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</sheetData>
  <hyperlinks>
    <hyperlink ref="A473" r:id="rId1"/>
  </hyperlinks>
  <pageMargins left="0.7" right="0.7" top="0.75" bottom="0.75" header="0.3" footer="0.3"/>
  <pageSetup scale="50" fitToHeight="17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2"/>
  <sheetViews>
    <sheetView workbookViewId="0"/>
  </sheetViews>
  <sheetFormatPr defaultColWidth="15.77734375" defaultRowHeight="15.75"/>
  <cols>
    <col min="1" max="1" width="25.77734375" customWidth="1"/>
    <col min="11" max="11" width="26.77734375" customWidth="1"/>
  </cols>
  <sheetData>
    <row r="1" spans="1:19" ht="20.25">
      <c r="A1" s="22" t="s">
        <v>0</v>
      </c>
      <c r="B1" s="8"/>
      <c r="C1" s="8"/>
      <c r="D1" s="8"/>
      <c r="E1" s="8"/>
      <c r="F1" s="9"/>
      <c r="G1" s="9"/>
      <c r="H1" s="9"/>
      <c r="I1" s="7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0.25">
      <c r="A2" s="23" t="s">
        <v>924</v>
      </c>
      <c r="B2" s="8"/>
      <c r="C2" s="8"/>
      <c r="D2" s="5"/>
      <c r="E2" s="5"/>
      <c r="F2" s="5"/>
      <c r="G2" s="5"/>
      <c r="H2" s="5"/>
      <c r="I2" s="6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6" t="s">
        <v>585</v>
      </c>
      <c r="H4" s="26" t="s">
        <v>586</v>
      </c>
      <c r="I4" s="25" t="s">
        <v>580</v>
      </c>
      <c r="J4" s="27" t="s">
        <v>582</v>
      </c>
      <c r="K4" s="25" t="s">
        <v>2</v>
      </c>
      <c r="L4" s="5"/>
      <c r="M4" s="5"/>
      <c r="N4" s="5"/>
      <c r="O4" s="5"/>
      <c r="P4" s="5"/>
      <c r="Q4" s="5"/>
      <c r="R4" s="5"/>
      <c r="S4" s="5"/>
    </row>
    <row r="5" spans="1:19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>
      <c r="A6" s="11" t="s">
        <v>3</v>
      </c>
      <c r="B6" s="12" t="s">
        <v>216</v>
      </c>
      <c r="C6" s="12"/>
      <c r="D6" s="12" t="s">
        <v>216</v>
      </c>
      <c r="E6" s="12"/>
      <c r="F6" s="12" t="s">
        <v>216</v>
      </c>
      <c r="G6" s="12"/>
      <c r="H6" s="12"/>
      <c r="I6" s="12"/>
      <c r="J6" s="13">
        <v>18557</v>
      </c>
      <c r="K6" s="12" t="s">
        <v>11</v>
      </c>
      <c r="L6" s="13">
        <f>SUM(B6:J7)</f>
        <v>56562</v>
      </c>
      <c r="M6" s="5"/>
      <c r="N6" s="5"/>
      <c r="O6" s="5"/>
      <c r="P6" s="5"/>
      <c r="Q6" s="5"/>
      <c r="R6" s="5"/>
      <c r="S6" s="5"/>
    </row>
    <row r="7" spans="1:19">
      <c r="A7" s="5"/>
      <c r="B7" s="13">
        <v>29644</v>
      </c>
      <c r="C7" s="13"/>
      <c r="D7" s="13">
        <v>4219</v>
      </c>
      <c r="E7" s="13"/>
      <c r="F7" s="13">
        <v>4142</v>
      </c>
      <c r="G7" s="13"/>
      <c r="H7" s="13"/>
      <c r="I7" s="13"/>
      <c r="J7" s="13"/>
      <c r="K7" s="14"/>
      <c r="L7" s="13"/>
      <c r="M7" s="5"/>
      <c r="N7" s="5"/>
      <c r="O7" s="5"/>
      <c r="P7" s="5"/>
      <c r="Q7" s="5"/>
      <c r="R7" s="5"/>
      <c r="S7" s="5"/>
    </row>
    <row r="8" spans="1:19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5"/>
      <c r="N8" s="5"/>
      <c r="O8" s="5"/>
      <c r="P8" s="5"/>
      <c r="Q8" s="5"/>
      <c r="R8" s="5"/>
      <c r="S8" s="5"/>
    </row>
    <row r="9" spans="1:19">
      <c r="A9" s="28" t="s">
        <v>10</v>
      </c>
      <c r="B9" s="29" t="s">
        <v>925</v>
      </c>
      <c r="C9" s="29" t="s">
        <v>926</v>
      </c>
      <c r="D9" s="29" t="s">
        <v>926</v>
      </c>
      <c r="E9" s="29" t="s">
        <v>926</v>
      </c>
      <c r="F9" s="29"/>
      <c r="G9" s="29"/>
      <c r="H9" s="29"/>
      <c r="I9" s="29"/>
      <c r="J9" s="30">
        <v>7024</v>
      </c>
      <c r="K9" s="29" t="s">
        <v>927</v>
      </c>
      <c r="L9" s="13">
        <f>SUM(B9:J10)</f>
        <v>59488</v>
      </c>
      <c r="M9" s="5"/>
      <c r="N9" s="5"/>
      <c r="O9" s="5"/>
      <c r="P9" s="5"/>
      <c r="Q9" s="5"/>
      <c r="R9" s="5"/>
      <c r="S9" s="5"/>
    </row>
    <row r="10" spans="1:19">
      <c r="A10" s="31"/>
      <c r="B10" s="30">
        <v>18159</v>
      </c>
      <c r="C10" s="30">
        <v>27158</v>
      </c>
      <c r="D10" s="30">
        <v>1941</v>
      </c>
      <c r="E10" s="30">
        <v>5206</v>
      </c>
      <c r="F10" s="30"/>
      <c r="G10" s="30"/>
      <c r="H10" s="30"/>
      <c r="I10" s="30"/>
      <c r="J10" s="30"/>
      <c r="K10" s="30"/>
      <c r="L10" s="13"/>
      <c r="M10" s="5"/>
      <c r="N10" s="5"/>
      <c r="O10" s="5"/>
      <c r="P10" s="5"/>
      <c r="Q10" s="5"/>
      <c r="R10" s="5"/>
      <c r="S10" s="5"/>
    </row>
    <row r="11" spans="1:19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13"/>
      <c r="M11" s="5"/>
      <c r="N11" s="5"/>
      <c r="O11" s="5"/>
      <c r="P11" s="5"/>
      <c r="Q11" s="5"/>
      <c r="R11" s="5"/>
      <c r="S11" s="5"/>
    </row>
    <row r="12" spans="1:19" ht="17.25">
      <c r="A12" s="31" t="s">
        <v>1073</v>
      </c>
      <c r="B12" s="29" t="s">
        <v>928</v>
      </c>
      <c r="C12" s="29" t="s">
        <v>392</v>
      </c>
      <c r="D12" s="29" t="s">
        <v>928</v>
      </c>
      <c r="E12" s="29" t="s">
        <v>392</v>
      </c>
      <c r="F12" s="29" t="s">
        <v>928</v>
      </c>
      <c r="G12" s="29"/>
      <c r="H12" s="29"/>
      <c r="I12" s="29"/>
      <c r="J12" s="29">
        <v>1881</v>
      </c>
      <c r="K12" s="29" t="s">
        <v>393</v>
      </c>
      <c r="L12" s="13">
        <f>SUM(B12:J13)</f>
        <v>28917</v>
      </c>
      <c r="M12" s="5"/>
      <c r="N12" s="5"/>
      <c r="O12" s="5"/>
      <c r="P12" s="5"/>
      <c r="Q12" s="5"/>
      <c r="R12" s="5"/>
      <c r="S12" s="5"/>
    </row>
    <row r="13" spans="1:19">
      <c r="A13" s="31"/>
      <c r="B13" s="30">
        <v>9574</v>
      </c>
      <c r="C13" s="30">
        <v>11576</v>
      </c>
      <c r="D13" s="30">
        <v>1267</v>
      </c>
      <c r="E13" s="30">
        <v>3884</v>
      </c>
      <c r="F13" s="30">
        <v>735</v>
      </c>
      <c r="G13" s="30"/>
      <c r="H13" s="30"/>
      <c r="I13" s="30"/>
      <c r="J13" s="30"/>
      <c r="K13" s="30"/>
      <c r="L13" s="13"/>
      <c r="M13" s="5"/>
      <c r="N13" s="5"/>
      <c r="O13" s="5"/>
      <c r="P13" s="5"/>
      <c r="Q13" s="5"/>
      <c r="R13" s="5"/>
      <c r="S13" s="5"/>
    </row>
    <row r="14" spans="1:19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5"/>
      <c r="N14" s="5"/>
      <c r="O14" s="5"/>
      <c r="P14" s="5"/>
      <c r="Q14" s="5"/>
      <c r="R14" s="5"/>
      <c r="S14" s="5"/>
    </row>
    <row r="15" spans="1:19">
      <c r="A15" s="11" t="s">
        <v>16</v>
      </c>
      <c r="B15" s="12" t="s">
        <v>763</v>
      </c>
      <c r="C15" s="12" t="s">
        <v>285</v>
      </c>
      <c r="D15" s="12" t="s">
        <v>285</v>
      </c>
      <c r="E15" s="12" t="s">
        <v>285</v>
      </c>
      <c r="F15" s="12"/>
      <c r="G15" s="12"/>
      <c r="H15" s="12"/>
      <c r="I15" s="12"/>
      <c r="J15" s="13">
        <v>6267</v>
      </c>
      <c r="K15" s="12" t="s">
        <v>929</v>
      </c>
      <c r="L15" s="13">
        <f>SUM(B15:J16)</f>
        <v>44618</v>
      </c>
      <c r="M15" s="5"/>
      <c r="N15" s="5"/>
      <c r="O15" s="5"/>
      <c r="P15" s="5"/>
      <c r="Q15" s="5"/>
      <c r="R15" s="5"/>
      <c r="S15" s="5"/>
    </row>
    <row r="16" spans="1:19">
      <c r="A16" s="5"/>
      <c r="B16" s="13">
        <v>19295</v>
      </c>
      <c r="C16" s="13">
        <v>14781</v>
      </c>
      <c r="D16" s="13">
        <v>1148</v>
      </c>
      <c r="E16" s="13">
        <v>3127</v>
      </c>
      <c r="F16" s="13"/>
      <c r="G16" s="13"/>
      <c r="H16" s="13"/>
      <c r="I16" s="13"/>
      <c r="J16" s="13"/>
      <c r="K16" s="14"/>
      <c r="L16" s="13"/>
      <c r="M16" s="5"/>
      <c r="N16" s="5"/>
      <c r="O16" s="5"/>
      <c r="P16" s="5"/>
      <c r="Q16" s="5"/>
      <c r="R16" s="5"/>
      <c r="S16" s="5"/>
    </row>
    <row r="17" spans="1:19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5"/>
      <c r="N17" s="5"/>
      <c r="O17" s="5"/>
      <c r="P17" s="5"/>
      <c r="Q17" s="5"/>
      <c r="R17" s="5"/>
      <c r="S17" s="5"/>
    </row>
    <row r="18" spans="1:19">
      <c r="A18" s="28" t="s">
        <v>26</v>
      </c>
      <c r="B18" s="32" t="s">
        <v>187</v>
      </c>
      <c r="C18" s="32" t="s">
        <v>930</v>
      </c>
      <c r="D18" s="32" t="s">
        <v>198</v>
      </c>
      <c r="E18" s="32" t="s">
        <v>930</v>
      </c>
      <c r="F18" s="32" t="s">
        <v>198</v>
      </c>
      <c r="G18" s="32"/>
      <c r="H18" s="32"/>
      <c r="I18" s="32"/>
      <c r="J18" s="30">
        <v>4907</v>
      </c>
      <c r="K18" s="32" t="s">
        <v>27</v>
      </c>
      <c r="L18" s="13">
        <f>SUM(B18:J19)</f>
        <v>50342</v>
      </c>
      <c r="M18" s="5"/>
      <c r="N18" s="5"/>
      <c r="O18" s="5"/>
      <c r="P18" s="5"/>
      <c r="Q18" s="5"/>
      <c r="R18" s="5"/>
      <c r="S18" s="5"/>
    </row>
    <row r="19" spans="1:19">
      <c r="A19" s="31"/>
      <c r="B19" s="30">
        <v>25478</v>
      </c>
      <c r="C19" s="30">
        <v>13979</v>
      </c>
      <c r="D19" s="30">
        <v>1269</v>
      </c>
      <c r="E19" s="32">
        <v>2950</v>
      </c>
      <c r="F19" s="32">
        <v>1759</v>
      </c>
      <c r="G19" s="32"/>
      <c r="H19" s="32"/>
      <c r="I19" s="30"/>
      <c r="J19" s="30"/>
      <c r="K19" s="33"/>
      <c r="L19" s="13"/>
      <c r="M19" s="5"/>
      <c r="N19" s="5"/>
      <c r="O19" s="5"/>
      <c r="P19" s="5"/>
      <c r="Q19" s="5"/>
      <c r="R19" s="5"/>
      <c r="S19" s="5"/>
    </row>
    <row r="20" spans="1:19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5"/>
      <c r="N20" s="5"/>
      <c r="O20" s="5"/>
      <c r="P20" s="5"/>
      <c r="Q20" s="5"/>
      <c r="R20" s="5"/>
      <c r="S20" s="5"/>
    </row>
    <row r="21" spans="1:19">
      <c r="A21" s="11" t="s">
        <v>40</v>
      </c>
      <c r="B21" s="12" t="s">
        <v>931</v>
      </c>
      <c r="C21" s="12" t="s">
        <v>286</v>
      </c>
      <c r="D21" s="12" t="s">
        <v>286</v>
      </c>
      <c r="E21" s="12" t="s">
        <v>286</v>
      </c>
      <c r="F21" s="12"/>
      <c r="G21" s="12"/>
      <c r="H21" s="12"/>
      <c r="I21" s="12"/>
      <c r="J21" s="13">
        <v>7736</v>
      </c>
      <c r="K21" s="12" t="s">
        <v>287</v>
      </c>
      <c r="L21" s="13">
        <f>SUM(B21:J22)</f>
        <v>49302</v>
      </c>
      <c r="M21" s="5"/>
      <c r="N21" s="5"/>
      <c r="O21" s="5"/>
      <c r="P21" s="5"/>
      <c r="Q21" s="5"/>
      <c r="R21" s="5"/>
      <c r="S21" s="5"/>
    </row>
    <row r="22" spans="1:19">
      <c r="A22" s="5"/>
      <c r="B22" s="13">
        <v>17128</v>
      </c>
      <c r="C22" s="13">
        <v>19226</v>
      </c>
      <c r="D22" s="13">
        <v>1215</v>
      </c>
      <c r="E22" s="13">
        <v>3997</v>
      </c>
      <c r="F22" s="13"/>
      <c r="G22" s="13"/>
      <c r="H22" s="13"/>
      <c r="I22" s="13"/>
      <c r="J22" s="13"/>
      <c r="K22" s="14"/>
      <c r="L22" s="13"/>
      <c r="M22" s="5"/>
      <c r="N22" s="5"/>
      <c r="O22" s="5"/>
      <c r="P22" s="5"/>
      <c r="Q22" s="5"/>
      <c r="R22" s="5"/>
      <c r="S22" s="5"/>
    </row>
    <row r="23" spans="1:19">
      <c r="A23" s="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5"/>
      <c r="N23" s="5"/>
      <c r="O23" s="5"/>
      <c r="P23" s="5"/>
      <c r="Q23" s="5"/>
      <c r="R23" s="5"/>
      <c r="S23" s="5"/>
    </row>
    <row r="24" spans="1:19">
      <c r="A24" s="28" t="s">
        <v>52</v>
      </c>
      <c r="B24" s="32" t="s">
        <v>217</v>
      </c>
      <c r="C24" s="32" t="s">
        <v>932</v>
      </c>
      <c r="D24" s="32" t="s">
        <v>217</v>
      </c>
      <c r="E24" s="32" t="s">
        <v>932</v>
      </c>
      <c r="F24" s="32" t="s">
        <v>217</v>
      </c>
      <c r="G24" s="32"/>
      <c r="H24" s="32"/>
      <c r="I24" s="29"/>
      <c r="J24" s="30">
        <v>2931</v>
      </c>
      <c r="K24" s="32" t="s">
        <v>218</v>
      </c>
      <c r="L24" s="13">
        <f>SUM(B24:J25)</f>
        <v>30795</v>
      </c>
      <c r="M24" s="5"/>
      <c r="N24" s="5"/>
      <c r="O24" s="5"/>
      <c r="P24" s="5"/>
      <c r="Q24" s="5"/>
      <c r="R24" s="5"/>
      <c r="S24" s="5"/>
    </row>
    <row r="25" spans="1:19">
      <c r="A25" s="31"/>
      <c r="B25" s="30">
        <v>21024</v>
      </c>
      <c r="C25" s="30">
        <v>4371</v>
      </c>
      <c r="D25" s="30">
        <v>454</v>
      </c>
      <c r="E25" s="30">
        <v>987</v>
      </c>
      <c r="F25" s="30">
        <v>1028</v>
      </c>
      <c r="G25" s="30"/>
      <c r="H25" s="30"/>
      <c r="I25" s="30"/>
      <c r="J25" s="30"/>
      <c r="K25" s="33"/>
      <c r="L25" s="13"/>
      <c r="M25" s="5"/>
      <c r="N25" s="5"/>
      <c r="O25" s="5"/>
      <c r="P25" s="5"/>
      <c r="Q25" s="5"/>
      <c r="R25" s="5"/>
      <c r="S25" s="5"/>
    </row>
    <row r="26" spans="1:19">
      <c r="A26" s="5"/>
      <c r="B26" s="16"/>
      <c r="C26" s="16"/>
      <c r="D26" s="16"/>
      <c r="E26" s="16"/>
      <c r="F26" s="16"/>
      <c r="G26" s="16"/>
      <c r="H26" s="16"/>
      <c r="I26" s="13"/>
      <c r="J26" s="13"/>
      <c r="K26" s="13"/>
      <c r="L26" s="13"/>
      <c r="M26" s="5"/>
      <c r="N26" s="5"/>
      <c r="O26" s="5"/>
      <c r="P26" s="5"/>
      <c r="Q26" s="5"/>
      <c r="R26" s="5"/>
      <c r="S26" s="5"/>
    </row>
    <row r="27" spans="1:19">
      <c r="A27" s="11" t="s">
        <v>59</v>
      </c>
      <c r="B27" s="12" t="s">
        <v>933</v>
      </c>
      <c r="C27" s="12" t="s">
        <v>331</v>
      </c>
      <c r="D27" s="12" t="s">
        <v>331</v>
      </c>
      <c r="E27" s="12" t="s">
        <v>331</v>
      </c>
      <c r="F27" s="12"/>
      <c r="G27" s="12"/>
      <c r="H27" s="12"/>
      <c r="I27" s="12" t="s">
        <v>934</v>
      </c>
      <c r="J27" s="13">
        <v>6031</v>
      </c>
      <c r="K27" s="12" t="s">
        <v>332</v>
      </c>
      <c r="L27" s="13">
        <f>SUM(B27:J28)</f>
        <v>56125</v>
      </c>
      <c r="M27" s="5"/>
      <c r="N27" s="5"/>
      <c r="O27" s="5"/>
      <c r="P27" s="5"/>
      <c r="Q27" s="5"/>
      <c r="R27" s="5"/>
      <c r="S27" s="5"/>
    </row>
    <row r="28" spans="1:19">
      <c r="A28" s="5"/>
      <c r="B28" s="13">
        <v>21659</v>
      </c>
      <c r="C28" s="13">
        <v>22125</v>
      </c>
      <c r="D28" s="13">
        <v>1413</v>
      </c>
      <c r="E28" s="13">
        <v>4657</v>
      </c>
      <c r="F28" s="13"/>
      <c r="G28" s="13"/>
      <c r="H28" s="13"/>
      <c r="I28" s="13">
        <v>240</v>
      </c>
      <c r="J28" s="13"/>
      <c r="K28" s="14"/>
      <c r="L28" s="13"/>
      <c r="M28" s="5"/>
      <c r="N28" s="5"/>
      <c r="O28" s="5"/>
      <c r="P28" s="5"/>
      <c r="Q28" s="5"/>
      <c r="R28" s="5"/>
      <c r="S28" s="5"/>
    </row>
    <row r="29" spans="1:19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5"/>
      <c r="N29" s="5"/>
      <c r="O29" s="5"/>
      <c r="P29" s="5"/>
      <c r="Q29" s="5"/>
      <c r="R29" s="5"/>
      <c r="S29" s="5"/>
    </row>
    <row r="30" spans="1:19">
      <c r="A30" s="28" t="s">
        <v>64</v>
      </c>
      <c r="B30" s="32" t="s">
        <v>935</v>
      </c>
      <c r="C30" s="32" t="s">
        <v>219</v>
      </c>
      <c r="D30" s="32" t="s">
        <v>219</v>
      </c>
      <c r="E30" s="32" t="s">
        <v>219</v>
      </c>
      <c r="F30" s="32"/>
      <c r="G30" s="32"/>
      <c r="H30" s="32"/>
      <c r="I30" s="32"/>
      <c r="J30" s="30">
        <v>7532</v>
      </c>
      <c r="K30" s="32" t="s">
        <v>220</v>
      </c>
      <c r="L30" s="13">
        <f>SUM(B30:J31)</f>
        <v>58865</v>
      </c>
      <c r="M30" s="5"/>
      <c r="N30" s="5"/>
      <c r="O30" s="5"/>
      <c r="P30" s="5"/>
      <c r="Q30" s="5"/>
      <c r="R30" s="5"/>
      <c r="S30" s="5"/>
    </row>
    <row r="31" spans="1:19">
      <c r="A31" s="31"/>
      <c r="B31" s="30">
        <v>15558</v>
      </c>
      <c r="C31" s="30">
        <v>29231</v>
      </c>
      <c r="D31" s="30">
        <v>1597</v>
      </c>
      <c r="E31" s="30">
        <v>4947</v>
      </c>
      <c r="F31" s="30"/>
      <c r="G31" s="30"/>
      <c r="H31" s="30"/>
      <c r="I31" s="30"/>
      <c r="J31" s="30"/>
      <c r="K31" s="33"/>
      <c r="L31" s="13"/>
      <c r="M31" s="5"/>
      <c r="N31" s="5"/>
      <c r="O31" s="5"/>
      <c r="P31" s="5"/>
      <c r="Q31" s="5"/>
      <c r="R31" s="5"/>
      <c r="S31" s="5"/>
    </row>
    <row r="32" spans="1:19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5"/>
      <c r="N32" s="5"/>
      <c r="O32" s="5"/>
      <c r="P32" s="5"/>
      <c r="Q32" s="5"/>
      <c r="R32" s="5"/>
      <c r="S32" s="5"/>
    </row>
    <row r="33" spans="1:19">
      <c r="A33" s="11" t="s">
        <v>73</v>
      </c>
      <c r="B33" s="12" t="s">
        <v>936</v>
      </c>
      <c r="C33" s="12" t="s">
        <v>243</v>
      </c>
      <c r="D33" s="12" t="s">
        <v>243</v>
      </c>
      <c r="E33" s="12" t="s">
        <v>243</v>
      </c>
      <c r="F33" s="12"/>
      <c r="G33" s="12"/>
      <c r="H33" s="12"/>
      <c r="I33" s="12" t="s">
        <v>288</v>
      </c>
      <c r="J33" s="13">
        <v>7212</v>
      </c>
      <c r="K33" s="12" t="s">
        <v>937</v>
      </c>
      <c r="L33" s="13">
        <f>SUM(B33:J34)</f>
        <v>57084</v>
      </c>
      <c r="M33" s="5"/>
      <c r="N33" s="5"/>
      <c r="O33" s="5"/>
      <c r="P33" s="5"/>
      <c r="Q33" s="5"/>
      <c r="R33" s="5"/>
      <c r="S33" s="5"/>
    </row>
    <row r="34" spans="1:19">
      <c r="A34" s="5"/>
      <c r="B34" s="13">
        <v>15585</v>
      </c>
      <c r="C34" s="13">
        <v>28310</v>
      </c>
      <c r="D34" s="13">
        <v>1453</v>
      </c>
      <c r="E34" s="13">
        <v>4282</v>
      </c>
      <c r="F34" s="13"/>
      <c r="G34" s="13"/>
      <c r="H34" s="13"/>
      <c r="I34" s="13">
        <v>242</v>
      </c>
      <c r="J34" s="13"/>
      <c r="K34" s="14"/>
      <c r="L34" s="13"/>
      <c r="M34" s="5"/>
      <c r="N34" s="5"/>
      <c r="O34" s="5"/>
      <c r="P34" s="5"/>
      <c r="Q34" s="5"/>
      <c r="R34" s="5"/>
      <c r="S34" s="5"/>
    </row>
    <row r="35" spans="1:19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5"/>
      <c r="N35" s="5"/>
      <c r="O35" s="5"/>
      <c r="P35" s="5"/>
      <c r="Q35" s="5"/>
      <c r="R35" s="5"/>
      <c r="S35" s="5"/>
    </row>
    <row r="36" spans="1:19">
      <c r="A36" s="28" t="s">
        <v>80</v>
      </c>
      <c r="B36" s="32" t="s">
        <v>938</v>
      </c>
      <c r="C36" s="32" t="s">
        <v>333</v>
      </c>
      <c r="D36" s="32" t="s">
        <v>333</v>
      </c>
      <c r="E36" s="32" t="s">
        <v>333</v>
      </c>
      <c r="F36" s="32" t="s">
        <v>333</v>
      </c>
      <c r="G36" s="32"/>
      <c r="H36" s="32"/>
      <c r="I36" s="32"/>
      <c r="J36" s="30">
        <v>5625</v>
      </c>
      <c r="K36" s="32" t="s">
        <v>334</v>
      </c>
      <c r="L36" s="13">
        <f>SUM(B36:J37)</f>
        <v>53176</v>
      </c>
      <c r="M36" s="5"/>
      <c r="N36" s="5"/>
      <c r="O36" s="5"/>
      <c r="P36" s="5"/>
      <c r="Q36" s="5"/>
      <c r="R36" s="5"/>
      <c r="S36" s="5"/>
    </row>
    <row r="37" spans="1:19">
      <c r="A37" s="31"/>
      <c r="B37" s="30">
        <v>21241</v>
      </c>
      <c r="C37" s="30">
        <v>21103</v>
      </c>
      <c r="D37" s="30">
        <v>1186</v>
      </c>
      <c r="E37" s="30">
        <v>3127</v>
      </c>
      <c r="F37" s="30">
        <v>894</v>
      </c>
      <c r="G37" s="30"/>
      <c r="H37" s="30"/>
      <c r="I37" s="30"/>
      <c r="J37" s="30"/>
      <c r="K37" s="33"/>
      <c r="L37" s="13"/>
      <c r="M37" s="5"/>
      <c r="N37" s="5"/>
      <c r="O37" s="5"/>
      <c r="P37" s="5"/>
      <c r="Q37" s="5"/>
      <c r="R37" s="5"/>
      <c r="S37" s="5"/>
    </row>
    <row r="38" spans="1:19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5"/>
      <c r="N38" s="5"/>
      <c r="O38" s="5"/>
      <c r="P38" s="5"/>
      <c r="Q38" s="5"/>
      <c r="R38" s="5"/>
      <c r="S38" s="5"/>
    </row>
    <row r="39" spans="1:19">
      <c r="A39" s="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5"/>
      <c r="N39" s="5"/>
      <c r="O39" s="5"/>
      <c r="P39" s="5"/>
      <c r="Q39" s="5"/>
      <c r="R39" s="5"/>
      <c r="S39" s="5"/>
    </row>
    <row r="40" spans="1:19">
      <c r="A40" s="11" t="s">
        <v>83</v>
      </c>
      <c r="B40" s="12" t="s">
        <v>939</v>
      </c>
      <c r="C40" s="12" t="s">
        <v>940</v>
      </c>
      <c r="D40" s="12" t="s">
        <v>941</v>
      </c>
      <c r="E40" s="15"/>
      <c r="F40" s="15" t="s">
        <v>941</v>
      </c>
      <c r="G40" s="15"/>
      <c r="H40" s="15"/>
      <c r="I40" s="12"/>
      <c r="J40" s="13">
        <v>5906</v>
      </c>
      <c r="K40" s="12" t="s">
        <v>942</v>
      </c>
      <c r="L40" s="13">
        <f>SUM(B40:J41)</f>
        <v>41047</v>
      </c>
      <c r="M40" s="5"/>
      <c r="N40" s="5"/>
      <c r="O40" s="5"/>
      <c r="P40" s="5"/>
      <c r="Q40" s="5"/>
      <c r="R40" s="5"/>
      <c r="S40" s="5"/>
    </row>
    <row r="41" spans="1:19">
      <c r="A41" s="5"/>
      <c r="B41" s="13">
        <v>24998</v>
      </c>
      <c r="C41" s="13">
        <v>7287</v>
      </c>
      <c r="D41" s="13">
        <v>1100</v>
      </c>
      <c r="E41" s="13"/>
      <c r="F41" s="13">
        <v>1756</v>
      </c>
      <c r="G41" s="13"/>
      <c r="H41" s="13"/>
      <c r="I41" s="13"/>
      <c r="J41" s="13"/>
      <c r="K41" s="14"/>
      <c r="L41" s="13"/>
      <c r="M41" s="5"/>
      <c r="N41" s="5"/>
      <c r="O41" s="5"/>
      <c r="P41" s="5"/>
      <c r="Q41" s="5"/>
      <c r="R41" s="5"/>
      <c r="S41" s="5"/>
    </row>
    <row r="42" spans="1:19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5"/>
      <c r="N42" s="5"/>
      <c r="O42" s="5"/>
      <c r="P42" s="5"/>
      <c r="Q42" s="5"/>
      <c r="R42" s="5"/>
      <c r="S42" s="5"/>
    </row>
    <row r="43" spans="1:19">
      <c r="A43" s="28" t="s">
        <v>91</v>
      </c>
      <c r="B43" s="32" t="s">
        <v>238</v>
      </c>
      <c r="C43" s="32"/>
      <c r="D43" s="32" t="s">
        <v>238</v>
      </c>
      <c r="E43" s="32" t="s">
        <v>238</v>
      </c>
      <c r="F43" s="32"/>
      <c r="G43" s="32"/>
      <c r="H43" s="32"/>
      <c r="I43" s="32"/>
      <c r="J43" s="30">
        <v>17959</v>
      </c>
      <c r="K43" s="32" t="s">
        <v>239</v>
      </c>
      <c r="L43" s="13">
        <f>SUM(B43:J44)</f>
        <v>56600</v>
      </c>
      <c r="M43" s="5"/>
      <c r="N43" s="5"/>
      <c r="O43" s="5"/>
      <c r="P43" s="5"/>
      <c r="Q43" s="5"/>
      <c r="R43" s="5"/>
      <c r="S43" s="5"/>
    </row>
    <row r="44" spans="1:19">
      <c r="A44" s="31"/>
      <c r="B44" s="30">
        <v>28009</v>
      </c>
      <c r="C44" s="30"/>
      <c r="D44" s="30">
        <v>5447</v>
      </c>
      <c r="E44" s="30">
        <v>5185</v>
      </c>
      <c r="F44" s="30"/>
      <c r="G44" s="30"/>
      <c r="H44" s="30"/>
      <c r="I44" s="30"/>
      <c r="J44" s="30"/>
      <c r="K44" s="33"/>
      <c r="L44" s="13"/>
      <c r="M44" s="5"/>
      <c r="N44" s="5"/>
      <c r="O44" s="5"/>
      <c r="P44" s="5"/>
      <c r="Q44" s="5"/>
      <c r="R44" s="5"/>
      <c r="S44" s="5"/>
    </row>
    <row r="45" spans="1:19">
      <c r="A45" s="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5"/>
      <c r="N45" s="5"/>
      <c r="O45" s="5"/>
      <c r="P45" s="5"/>
      <c r="Q45" s="5"/>
      <c r="R45" s="5"/>
      <c r="S45" s="5"/>
    </row>
    <row r="46" spans="1:19">
      <c r="A46" s="11" t="s">
        <v>94</v>
      </c>
      <c r="B46" s="12" t="s">
        <v>244</v>
      </c>
      <c r="C46" s="12" t="s">
        <v>773</v>
      </c>
      <c r="D46" s="12" t="s">
        <v>244</v>
      </c>
      <c r="E46" s="12" t="s">
        <v>773</v>
      </c>
      <c r="F46" s="12" t="s">
        <v>244</v>
      </c>
      <c r="G46" s="12" t="s">
        <v>588</v>
      </c>
      <c r="H46" s="12"/>
      <c r="I46" s="15"/>
      <c r="J46" s="13">
        <v>7725</v>
      </c>
      <c r="K46" s="12" t="s">
        <v>245</v>
      </c>
      <c r="L46" s="13">
        <f>SUM(B46:J47)</f>
        <v>53679</v>
      </c>
      <c r="M46" s="5"/>
      <c r="N46" s="5"/>
      <c r="O46" s="5"/>
      <c r="P46" s="5"/>
      <c r="Q46" s="5"/>
      <c r="R46" s="5"/>
      <c r="S46" s="5"/>
    </row>
    <row r="47" spans="1:19">
      <c r="A47" s="5"/>
      <c r="B47" s="13">
        <v>27566</v>
      </c>
      <c r="C47" s="13">
        <v>14742</v>
      </c>
      <c r="D47" s="13">
        <v>660</v>
      </c>
      <c r="E47" s="13">
        <v>1728</v>
      </c>
      <c r="F47" s="13">
        <v>863</v>
      </c>
      <c r="G47" s="13">
        <v>395</v>
      </c>
      <c r="H47" s="13"/>
      <c r="I47" s="13"/>
      <c r="J47" s="13"/>
      <c r="K47" s="14"/>
      <c r="L47" s="13"/>
      <c r="M47" s="5"/>
      <c r="N47" s="5"/>
      <c r="O47" s="5"/>
      <c r="P47" s="5"/>
      <c r="Q47" s="5"/>
      <c r="R47" s="5"/>
      <c r="S47" s="5"/>
    </row>
    <row r="48" spans="1:19">
      <c r="A48" s="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5"/>
      <c r="N48" s="5"/>
      <c r="O48" s="5"/>
      <c r="P48" s="5"/>
      <c r="Q48" s="5"/>
      <c r="R48" s="5"/>
      <c r="S48" s="5"/>
    </row>
    <row r="49" spans="1:19">
      <c r="A49" s="28" t="s">
        <v>104</v>
      </c>
      <c r="B49" s="32" t="s">
        <v>943</v>
      </c>
      <c r="C49" s="32" t="s">
        <v>213</v>
      </c>
      <c r="D49" s="32" t="s">
        <v>213</v>
      </c>
      <c r="E49" s="32" t="s">
        <v>213</v>
      </c>
      <c r="F49" s="32" t="s">
        <v>943</v>
      </c>
      <c r="G49" s="32"/>
      <c r="H49" s="32"/>
      <c r="I49" s="29" t="s">
        <v>293</v>
      </c>
      <c r="J49" s="30">
        <v>9218</v>
      </c>
      <c r="K49" s="32" t="s">
        <v>214</v>
      </c>
      <c r="L49" s="13">
        <f>SUM(B49:J50)</f>
        <v>61226</v>
      </c>
      <c r="M49" s="5"/>
      <c r="N49" s="5"/>
      <c r="O49" s="5"/>
      <c r="P49" s="5"/>
      <c r="Q49" s="5"/>
      <c r="R49" s="5"/>
      <c r="S49" s="5"/>
    </row>
    <row r="50" spans="1:19">
      <c r="A50" s="31"/>
      <c r="B50" s="30">
        <v>18094</v>
      </c>
      <c r="C50" s="30">
        <v>27907</v>
      </c>
      <c r="D50" s="30">
        <v>1134</v>
      </c>
      <c r="E50" s="30">
        <v>3488</v>
      </c>
      <c r="F50" s="30">
        <v>1149</v>
      </c>
      <c r="G50" s="30"/>
      <c r="H50" s="30"/>
      <c r="I50" s="29">
        <v>236</v>
      </c>
      <c r="J50" s="30"/>
      <c r="K50" s="33"/>
      <c r="L50" s="13"/>
      <c r="M50" s="5"/>
      <c r="N50" s="5"/>
      <c r="O50" s="5"/>
      <c r="P50" s="5"/>
      <c r="Q50" s="5"/>
      <c r="R50" s="5"/>
      <c r="S50" s="5"/>
    </row>
    <row r="51" spans="1:19">
      <c r="A51" s="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5"/>
      <c r="N51" s="5"/>
      <c r="O51" s="5"/>
      <c r="P51" s="5"/>
      <c r="Q51" s="5"/>
      <c r="R51" s="5"/>
      <c r="S51" s="5"/>
    </row>
    <row r="52" spans="1:19">
      <c r="A52" s="11" t="s">
        <v>110</v>
      </c>
      <c r="B52" s="12" t="s">
        <v>775</v>
      </c>
      <c r="C52" s="12" t="s">
        <v>291</v>
      </c>
      <c r="D52" s="12" t="s">
        <v>291</v>
      </c>
      <c r="E52" s="12" t="s">
        <v>291</v>
      </c>
      <c r="F52" s="12"/>
      <c r="G52" s="12"/>
      <c r="H52" s="12"/>
      <c r="I52" s="15" t="s">
        <v>776</v>
      </c>
      <c r="J52" s="13">
        <v>8646</v>
      </c>
      <c r="K52" s="12" t="s">
        <v>292</v>
      </c>
      <c r="L52" s="13">
        <f>SUM(B52:J53)</f>
        <v>55551</v>
      </c>
      <c r="M52" s="5"/>
      <c r="N52" s="5"/>
      <c r="O52" s="5"/>
      <c r="P52" s="5"/>
      <c r="Q52" s="5"/>
      <c r="R52" s="5"/>
      <c r="S52" s="5"/>
    </row>
    <row r="53" spans="1:19">
      <c r="A53" s="5"/>
      <c r="B53" s="13">
        <v>18951</v>
      </c>
      <c r="C53" s="13">
        <v>23740</v>
      </c>
      <c r="D53" s="13">
        <v>898</v>
      </c>
      <c r="E53" s="13">
        <v>3094</v>
      </c>
      <c r="F53" s="13"/>
      <c r="G53" s="13"/>
      <c r="H53" s="13"/>
      <c r="I53" s="13">
        <v>222</v>
      </c>
      <c r="J53" s="13"/>
      <c r="K53" s="14"/>
      <c r="L53" s="13"/>
      <c r="M53" s="5"/>
      <c r="N53" s="5"/>
      <c r="O53" s="5"/>
      <c r="P53" s="5"/>
      <c r="Q53" s="5"/>
      <c r="R53" s="5"/>
      <c r="S53" s="5"/>
    </row>
    <row r="54" spans="1:19">
      <c r="A54" s="5"/>
      <c r="B54" s="15"/>
      <c r="C54" s="15"/>
      <c r="D54" s="15"/>
      <c r="E54" s="15"/>
      <c r="F54" s="15"/>
      <c r="G54" s="15"/>
      <c r="H54" s="15"/>
      <c r="I54" s="15"/>
      <c r="J54" s="13"/>
      <c r="K54" s="13"/>
      <c r="L54" s="13"/>
      <c r="M54" s="5"/>
      <c r="N54" s="5"/>
      <c r="O54" s="5"/>
      <c r="P54" s="5"/>
      <c r="Q54" s="5"/>
      <c r="R54" s="5"/>
      <c r="S54" s="5"/>
    </row>
    <row r="55" spans="1:19">
      <c r="A55" s="28" t="s">
        <v>114</v>
      </c>
      <c r="B55" s="32" t="s">
        <v>777</v>
      </c>
      <c r="C55" s="32" t="s">
        <v>944</v>
      </c>
      <c r="D55" s="32" t="s">
        <v>777</v>
      </c>
      <c r="E55" s="32" t="s">
        <v>944</v>
      </c>
      <c r="F55" s="32" t="s">
        <v>777</v>
      </c>
      <c r="G55" s="32"/>
      <c r="H55" s="32"/>
      <c r="I55" s="29"/>
      <c r="J55" s="30">
        <v>8341</v>
      </c>
      <c r="K55" s="32" t="s">
        <v>778</v>
      </c>
      <c r="L55" s="13">
        <f>SUM(B55:J56)</f>
        <v>56034</v>
      </c>
      <c r="M55" s="5"/>
      <c r="N55" s="5"/>
      <c r="O55" s="5"/>
      <c r="P55" s="5"/>
      <c r="Q55" s="5"/>
      <c r="R55" s="5"/>
      <c r="S55" s="5"/>
    </row>
    <row r="56" spans="1:19">
      <c r="A56" s="31"/>
      <c r="B56" s="30">
        <v>27208</v>
      </c>
      <c r="C56" s="30">
        <v>16674</v>
      </c>
      <c r="D56" s="30">
        <v>801</v>
      </c>
      <c r="E56" s="30">
        <v>1813</v>
      </c>
      <c r="F56" s="30">
        <v>1197</v>
      </c>
      <c r="G56" s="30"/>
      <c r="H56" s="30"/>
      <c r="I56" s="30"/>
      <c r="J56" s="30"/>
      <c r="K56" s="33"/>
      <c r="L56" s="13"/>
      <c r="M56" s="5"/>
      <c r="N56" s="5"/>
      <c r="O56" s="5"/>
      <c r="P56" s="5"/>
      <c r="Q56" s="5"/>
      <c r="R56" s="5"/>
      <c r="S56" s="5"/>
    </row>
    <row r="57" spans="1:19">
      <c r="A57" s="5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5"/>
      <c r="N57" s="5"/>
      <c r="O57" s="5"/>
      <c r="P57" s="5"/>
      <c r="Q57" s="5"/>
      <c r="R57" s="5"/>
      <c r="S57" s="5"/>
    </row>
    <row r="58" spans="1:19">
      <c r="A58" s="11" t="s">
        <v>128</v>
      </c>
      <c r="B58" s="12" t="s">
        <v>945</v>
      </c>
      <c r="C58" s="12" t="s">
        <v>252</v>
      </c>
      <c r="D58" s="12" t="s">
        <v>252</v>
      </c>
      <c r="E58" s="12" t="s">
        <v>252</v>
      </c>
      <c r="F58" s="12" t="s">
        <v>945</v>
      </c>
      <c r="G58" s="12"/>
      <c r="H58" s="12"/>
      <c r="I58" s="15" t="s">
        <v>335</v>
      </c>
      <c r="J58" s="13">
        <v>8378</v>
      </c>
      <c r="K58" s="12" t="s">
        <v>253</v>
      </c>
      <c r="L58" s="13">
        <f>SUM(B58:J59)</f>
        <v>55630</v>
      </c>
      <c r="M58" s="5"/>
      <c r="N58" s="5"/>
      <c r="O58" s="5"/>
      <c r="P58" s="5"/>
      <c r="Q58" s="5"/>
      <c r="R58" s="5"/>
      <c r="S58" s="5"/>
    </row>
    <row r="59" spans="1:19">
      <c r="A59" s="5"/>
      <c r="B59" s="13">
        <v>18533</v>
      </c>
      <c r="C59" s="13">
        <v>22858</v>
      </c>
      <c r="D59" s="13">
        <v>850</v>
      </c>
      <c r="E59" s="13">
        <v>3237</v>
      </c>
      <c r="F59" s="13">
        <v>1605</v>
      </c>
      <c r="G59" s="13"/>
      <c r="H59" s="13"/>
      <c r="I59" s="13">
        <v>169</v>
      </c>
      <c r="J59" s="13"/>
      <c r="K59" s="14"/>
      <c r="L59" s="13"/>
      <c r="M59" s="5"/>
      <c r="N59" s="5"/>
      <c r="O59" s="5"/>
      <c r="P59" s="5"/>
      <c r="Q59" s="5"/>
      <c r="R59" s="5"/>
      <c r="S59" s="5"/>
    </row>
    <row r="60" spans="1:19">
      <c r="A60" s="5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5"/>
      <c r="N60" s="5"/>
      <c r="O60" s="5"/>
      <c r="P60" s="5"/>
      <c r="Q60" s="5"/>
      <c r="R60" s="5"/>
      <c r="S60" s="5"/>
    </row>
    <row r="61" spans="1:19">
      <c r="A61" s="28" t="s">
        <v>133</v>
      </c>
      <c r="B61" s="32" t="s">
        <v>221</v>
      </c>
      <c r="C61" s="32" t="s">
        <v>946</v>
      </c>
      <c r="D61" s="32" t="s">
        <v>221</v>
      </c>
      <c r="E61" s="32" t="s">
        <v>946</v>
      </c>
      <c r="F61" s="32"/>
      <c r="G61" s="32"/>
      <c r="H61" s="32"/>
      <c r="I61" s="32"/>
      <c r="J61" s="30">
        <v>4999</v>
      </c>
      <c r="K61" s="32" t="s">
        <v>222</v>
      </c>
      <c r="L61" s="13">
        <f>SUM(B61:J62)</f>
        <v>44418</v>
      </c>
      <c r="M61" s="5"/>
      <c r="N61" s="5"/>
      <c r="O61" s="5"/>
      <c r="P61" s="5"/>
      <c r="Q61" s="5"/>
      <c r="R61" s="5"/>
      <c r="S61" s="5"/>
    </row>
    <row r="62" spans="1:19">
      <c r="A62" s="31"/>
      <c r="B62" s="30">
        <v>35070</v>
      </c>
      <c r="C62" s="30">
        <v>3247</v>
      </c>
      <c r="D62" s="30">
        <v>501</v>
      </c>
      <c r="E62" s="30">
        <v>601</v>
      </c>
      <c r="F62" s="30"/>
      <c r="G62" s="30"/>
      <c r="H62" s="30"/>
      <c r="I62" s="30"/>
      <c r="J62" s="30"/>
      <c r="K62" s="33"/>
      <c r="L62" s="13"/>
      <c r="M62" s="5"/>
      <c r="N62" s="5"/>
      <c r="O62" s="5"/>
      <c r="P62" s="5"/>
      <c r="Q62" s="5"/>
      <c r="R62" s="5"/>
      <c r="S62" s="5"/>
    </row>
    <row r="63" spans="1:19">
      <c r="A63" s="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5"/>
      <c r="N63" s="5"/>
      <c r="O63" s="5"/>
      <c r="P63" s="5"/>
      <c r="Q63" s="5"/>
      <c r="R63" s="5"/>
      <c r="S63" s="5"/>
    </row>
    <row r="64" spans="1:19">
      <c r="A64" s="11" t="s">
        <v>138</v>
      </c>
      <c r="B64" s="12" t="s">
        <v>336</v>
      </c>
      <c r="C64" s="12" t="s">
        <v>294</v>
      </c>
      <c r="D64" s="12" t="s">
        <v>294</v>
      </c>
      <c r="E64" s="12" t="s">
        <v>294</v>
      </c>
      <c r="F64" s="12"/>
      <c r="G64" s="12"/>
      <c r="H64" s="12"/>
      <c r="I64" s="12" t="s">
        <v>295</v>
      </c>
      <c r="J64" s="13">
        <v>9202</v>
      </c>
      <c r="K64" s="12" t="s">
        <v>296</v>
      </c>
      <c r="L64" s="13">
        <f>SUM(B64:J65)</f>
        <v>55600</v>
      </c>
      <c r="M64" s="5"/>
      <c r="N64" s="5"/>
      <c r="O64" s="5"/>
      <c r="P64" s="5"/>
      <c r="Q64" s="5"/>
      <c r="R64" s="5"/>
      <c r="S64" s="5"/>
    </row>
    <row r="65" spans="1:19">
      <c r="A65" s="5"/>
      <c r="B65" s="13">
        <v>17599</v>
      </c>
      <c r="C65" s="13">
        <v>24436</v>
      </c>
      <c r="D65" s="13">
        <v>861</v>
      </c>
      <c r="E65" s="13">
        <v>3277</v>
      </c>
      <c r="F65" s="13"/>
      <c r="G65" s="13"/>
      <c r="H65" s="13"/>
      <c r="I65" s="13">
        <v>225</v>
      </c>
      <c r="J65" s="13"/>
      <c r="K65" s="14"/>
      <c r="L65" s="13"/>
      <c r="M65" s="5"/>
      <c r="N65" s="5"/>
      <c r="O65" s="5"/>
      <c r="P65" s="5"/>
      <c r="Q65" s="5"/>
      <c r="R65" s="5"/>
      <c r="S65" s="5"/>
    </row>
    <row r="66" spans="1:19">
      <c r="A66" s="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5"/>
      <c r="N66" s="5"/>
      <c r="O66" s="5"/>
      <c r="P66" s="5"/>
      <c r="Q66" s="5"/>
      <c r="R66" s="5"/>
      <c r="S66" s="5"/>
    </row>
    <row r="67" spans="1:19">
      <c r="A67" s="28" t="s">
        <v>141</v>
      </c>
      <c r="B67" s="32" t="s">
        <v>947</v>
      </c>
      <c r="C67" s="32" t="s">
        <v>948</v>
      </c>
      <c r="D67" s="32" t="s">
        <v>949</v>
      </c>
      <c r="E67" s="32" t="s">
        <v>948</v>
      </c>
      <c r="F67" s="32" t="s">
        <v>949</v>
      </c>
      <c r="G67" s="32"/>
      <c r="H67" s="32"/>
      <c r="I67" s="29" t="s">
        <v>950</v>
      </c>
      <c r="J67" s="30">
        <v>10884</v>
      </c>
      <c r="K67" s="32" t="s">
        <v>951</v>
      </c>
      <c r="L67" s="13">
        <f>SUM(B67:J68)</f>
        <v>49705</v>
      </c>
      <c r="M67" s="5"/>
      <c r="N67" s="5"/>
      <c r="O67" s="5"/>
      <c r="P67" s="5"/>
      <c r="Q67" s="5"/>
      <c r="R67" s="5"/>
      <c r="S67" s="5"/>
    </row>
    <row r="68" spans="1:19">
      <c r="A68" s="31"/>
      <c r="B68" s="30">
        <v>20223</v>
      </c>
      <c r="C68" s="30">
        <v>15323</v>
      </c>
      <c r="D68" s="30">
        <v>647</v>
      </c>
      <c r="E68" s="30">
        <v>1630</v>
      </c>
      <c r="F68" s="30">
        <v>860</v>
      </c>
      <c r="G68" s="30"/>
      <c r="H68" s="30"/>
      <c r="I68" s="30">
        <v>138</v>
      </c>
      <c r="J68" s="30"/>
      <c r="K68" s="33"/>
      <c r="L68" s="13"/>
      <c r="M68" s="5"/>
      <c r="N68" s="5"/>
      <c r="O68" s="5"/>
      <c r="P68" s="5"/>
      <c r="Q68" s="5"/>
      <c r="R68" s="5"/>
      <c r="S68" s="5"/>
    </row>
    <row r="69" spans="1:19">
      <c r="A69" s="5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5"/>
      <c r="N69" s="5"/>
      <c r="O69" s="5"/>
      <c r="P69" s="5"/>
      <c r="Q69" s="5"/>
      <c r="R69" s="5"/>
      <c r="S69" s="5"/>
    </row>
    <row r="70" spans="1:19">
      <c r="A70" s="11" t="s">
        <v>147</v>
      </c>
      <c r="B70" s="12" t="s">
        <v>952</v>
      </c>
      <c r="C70" s="12" t="s">
        <v>289</v>
      </c>
      <c r="D70" s="12" t="s">
        <v>289</v>
      </c>
      <c r="E70" s="12" t="s">
        <v>289</v>
      </c>
      <c r="F70" s="12" t="s">
        <v>952</v>
      </c>
      <c r="G70" s="12"/>
      <c r="H70" s="12"/>
      <c r="I70" s="15" t="s">
        <v>786</v>
      </c>
      <c r="J70" s="13">
        <v>8001</v>
      </c>
      <c r="K70" s="12" t="s">
        <v>290</v>
      </c>
      <c r="L70" s="13">
        <f>SUM(B70:J71)</f>
        <v>59473</v>
      </c>
      <c r="M70" s="5"/>
      <c r="N70" s="5"/>
      <c r="O70" s="5"/>
      <c r="P70" s="5"/>
      <c r="Q70" s="5"/>
      <c r="R70" s="5"/>
      <c r="S70" s="5"/>
    </row>
    <row r="71" spans="1:19">
      <c r="A71" s="5"/>
      <c r="B71" s="13">
        <v>22593</v>
      </c>
      <c r="C71" s="13">
        <v>23376</v>
      </c>
      <c r="D71" s="13">
        <v>1022</v>
      </c>
      <c r="E71" s="13">
        <v>2991</v>
      </c>
      <c r="F71" s="13">
        <v>1252</v>
      </c>
      <c r="G71" s="13"/>
      <c r="H71" s="13"/>
      <c r="I71" s="13">
        <v>238</v>
      </c>
      <c r="J71" s="13"/>
      <c r="K71" s="14"/>
      <c r="L71" s="13"/>
      <c r="M71" s="5"/>
      <c r="N71" s="5"/>
      <c r="O71" s="5"/>
      <c r="P71" s="5"/>
      <c r="Q71" s="5"/>
      <c r="R71" s="5"/>
      <c r="S71" s="5"/>
    </row>
    <row r="72" spans="1:19">
      <c r="A72" s="5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5"/>
      <c r="N72" s="5"/>
      <c r="O72" s="5"/>
      <c r="P72" s="5"/>
      <c r="Q72" s="5"/>
      <c r="R72" s="5"/>
      <c r="S72" s="5"/>
    </row>
    <row r="73" spans="1:19">
      <c r="A73" s="34" t="s">
        <v>152</v>
      </c>
      <c r="B73" s="32" t="s">
        <v>337</v>
      </c>
      <c r="C73" s="32" t="s">
        <v>312</v>
      </c>
      <c r="D73" s="32" t="s">
        <v>312</v>
      </c>
      <c r="E73" s="32" t="s">
        <v>312</v>
      </c>
      <c r="F73" s="32" t="s">
        <v>337</v>
      </c>
      <c r="G73" s="32"/>
      <c r="H73" s="32"/>
      <c r="I73" s="32"/>
      <c r="J73" s="30">
        <v>5821</v>
      </c>
      <c r="K73" s="32" t="s">
        <v>338</v>
      </c>
      <c r="L73" s="13">
        <f>SUM(B73:J74)</f>
        <v>52497</v>
      </c>
      <c r="M73" s="5"/>
      <c r="N73" s="5"/>
      <c r="O73" s="5"/>
      <c r="P73" s="5"/>
      <c r="Q73" s="5"/>
      <c r="R73" s="5"/>
      <c r="S73" s="5"/>
    </row>
    <row r="74" spans="1:19">
      <c r="A74" s="31"/>
      <c r="B74" s="30">
        <v>28817</v>
      </c>
      <c r="C74" s="30">
        <v>14069</v>
      </c>
      <c r="D74" s="30">
        <v>602</v>
      </c>
      <c r="E74" s="30">
        <v>1800</v>
      </c>
      <c r="F74" s="30">
        <v>1388</v>
      </c>
      <c r="G74" s="30"/>
      <c r="H74" s="30"/>
      <c r="I74" s="30"/>
      <c r="J74" s="30"/>
      <c r="K74" s="33"/>
      <c r="L74" s="13"/>
      <c r="M74" s="5"/>
      <c r="N74" s="5"/>
      <c r="O74" s="5"/>
      <c r="P74" s="5"/>
      <c r="Q74" s="5"/>
      <c r="R74" s="5"/>
      <c r="S74" s="5"/>
    </row>
    <row r="75" spans="1:19">
      <c r="A75" s="5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5"/>
      <c r="N75" s="5"/>
      <c r="O75" s="5"/>
      <c r="P75" s="5"/>
      <c r="Q75" s="5"/>
      <c r="R75" s="5"/>
      <c r="S75" s="5"/>
    </row>
    <row r="76" spans="1:19">
      <c r="A76" s="11" t="s">
        <v>156</v>
      </c>
      <c r="B76" s="12" t="s">
        <v>787</v>
      </c>
      <c r="C76" s="12"/>
      <c r="D76" s="12" t="s">
        <v>787</v>
      </c>
      <c r="E76" s="12" t="s">
        <v>787</v>
      </c>
      <c r="F76" s="12"/>
      <c r="G76" s="12"/>
      <c r="H76" s="12"/>
      <c r="I76" s="15"/>
      <c r="J76" s="13">
        <v>13591</v>
      </c>
      <c r="K76" s="12" t="s">
        <v>788</v>
      </c>
      <c r="L76" s="13">
        <f>SUM(B76:J77)</f>
        <v>30957</v>
      </c>
      <c r="M76" s="5"/>
      <c r="N76" s="5"/>
      <c r="O76" s="5"/>
      <c r="P76" s="5"/>
      <c r="Q76" s="5"/>
      <c r="R76" s="5"/>
      <c r="S76" s="5"/>
    </row>
    <row r="77" spans="1:19">
      <c r="A77" s="5"/>
      <c r="B77" s="13">
        <v>14279</v>
      </c>
      <c r="C77" s="13"/>
      <c r="D77" s="13">
        <v>615</v>
      </c>
      <c r="E77" s="13">
        <v>2472</v>
      </c>
      <c r="F77" s="13"/>
      <c r="G77" s="13"/>
      <c r="H77" s="13"/>
      <c r="I77" s="13"/>
      <c r="J77" s="13"/>
      <c r="K77" s="14"/>
      <c r="L77" s="13"/>
      <c r="M77" s="5"/>
      <c r="N77" s="5"/>
      <c r="O77" s="5"/>
      <c r="P77" s="5"/>
      <c r="Q77" s="5"/>
      <c r="R77" s="5"/>
      <c r="S77" s="5"/>
    </row>
    <row r="78" spans="1:19">
      <c r="A78" s="5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5"/>
      <c r="N78" s="5"/>
      <c r="O78" s="5"/>
      <c r="P78" s="5"/>
      <c r="Q78" s="5"/>
      <c r="R78" s="5"/>
      <c r="S78" s="5"/>
    </row>
    <row r="79" spans="1:19">
      <c r="A79" s="34" t="s">
        <v>163</v>
      </c>
      <c r="B79" s="32" t="s">
        <v>164</v>
      </c>
      <c r="C79" s="32"/>
      <c r="D79" s="32" t="s">
        <v>789</v>
      </c>
      <c r="E79" s="32"/>
      <c r="F79" s="32" t="s">
        <v>789</v>
      </c>
      <c r="G79" s="32"/>
      <c r="H79" s="32"/>
      <c r="I79" s="29"/>
      <c r="J79" s="30">
        <v>8005</v>
      </c>
      <c r="K79" s="32" t="s">
        <v>297</v>
      </c>
      <c r="L79" s="13">
        <f>SUM(B79:J80)</f>
        <v>34362</v>
      </c>
      <c r="M79" s="5"/>
      <c r="N79" s="5"/>
      <c r="O79" s="5"/>
      <c r="P79" s="5"/>
      <c r="Q79" s="5"/>
      <c r="R79" s="5"/>
      <c r="S79" s="5"/>
    </row>
    <row r="80" spans="1:19">
      <c r="A80" s="31"/>
      <c r="B80" s="30">
        <v>24893</v>
      </c>
      <c r="C80" s="30"/>
      <c r="D80" s="30">
        <v>636</v>
      </c>
      <c r="E80" s="30"/>
      <c r="F80" s="30">
        <v>828</v>
      </c>
      <c r="G80" s="30"/>
      <c r="H80" s="30"/>
      <c r="I80" s="30"/>
      <c r="J80" s="30"/>
      <c r="K80" s="33"/>
      <c r="L80" s="13"/>
      <c r="M80" s="5"/>
      <c r="N80" s="5"/>
      <c r="O80" s="5"/>
      <c r="P80" s="5"/>
      <c r="Q80" s="5"/>
      <c r="R80" s="5"/>
      <c r="S80" s="5"/>
    </row>
    <row r="81" spans="1:19">
      <c r="A81" s="5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5"/>
      <c r="N81" s="5"/>
      <c r="O81" s="5"/>
      <c r="P81" s="5"/>
      <c r="Q81" s="5"/>
      <c r="R81" s="5"/>
      <c r="S81" s="5"/>
    </row>
    <row r="82" spans="1:19">
      <c r="A82" s="11" t="s">
        <v>168</v>
      </c>
      <c r="B82" s="12" t="s">
        <v>339</v>
      </c>
      <c r="C82" s="12" t="s">
        <v>953</v>
      </c>
      <c r="D82" s="12" t="s">
        <v>954</v>
      </c>
      <c r="E82" s="12" t="s">
        <v>955</v>
      </c>
      <c r="F82" s="12" t="s">
        <v>339</v>
      </c>
      <c r="G82" s="12"/>
      <c r="H82" s="12"/>
      <c r="I82" s="15"/>
      <c r="J82" s="13">
        <v>6231</v>
      </c>
      <c r="K82" s="12" t="s">
        <v>340</v>
      </c>
      <c r="L82" s="13">
        <f>SUM(B82:J83)</f>
        <v>30894</v>
      </c>
      <c r="M82" s="5"/>
      <c r="N82" s="5"/>
      <c r="O82" s="5"/>
      <c r="P82" s="5"/>
      <c r="Q82" s="5"/>
      <c r="R82" s="5"/>
      <c r="S82" s="5"/>
    </row>
    <row r="83" spans="1:19">
      <c r="A83" s="5"/>
      <c r="B83" s="13">
        <v>15889</v>
      </c>
      <c r="C83" s="13">
        <v>6098</v>
      </c>
      <c r="D83" s="13">
        <v>1431</v>
      </c>
      <c r="E83" s="13">
        <v>655</v>
      </c>
      <c r="F83" s="13">
        <v>590</v>
      </c>
      <c r="G83" s="13"/>
      <c r="H83" s="13"/>
      <c r="I83" s="13"/>
      <c r="J83" s="13"/>
      <c r="K83" s="14"/>
      <c r="L83" s="13"/>
      <c r="M83" s="5"/>
      <c r="N83" s="5"/>
      <c r="O83" s="5"/>
      <c r="P83" s="5"/>
      <c r="Q83" s="5"/>
      <c r="R83" s="5"/>
      <c r="S83" s="5"/>
    </row>
    <row r="84" spans="1:19">
      <c r="A84" s="5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5"/>
      <c r="N84" s="5"/>
      <c r="O84" s="5"/>
      <c r="P84" s="5"/>
      <c r="Q84" s="5"/>
      <c r="R84" s="5"/>
      <c r="S84" s="5"/>
    </row>
    <row r="85" spans="1:19">
      <c r="A85" s="28" t="s">
        <v>174</v>
      </c>
      <c r="B85" s="32" t="s">
        <v>298</v>
      </c>
      <c r="C85" s="32"/>
      <c r="D85" s="32" t="s">
        <v>298</v>
      </c>
      <c r="E85" s="32"/>
      <c r="F85" s="32" t="s">
        <v>298</v>
      </c>
      <c r="G85" s="32"/>
      <c r="H85" s="32"/>
      <c r="I85" s="32"/>
      <c r="J85" s="30">
        <v>14213</v>
      </c>
      <c r="K85" s="32" t="s">
        <v>299</v>
      </c>
      <c r="L85" s="13">
        <f>SUM(B85:J86)</f>
        <v>42132</v>
      </c>
      <c r="M85" s="5"/>
      <c r="N85" s="5"/>
      <c r="O85" s="5"/>
      <c r="P85" s="5"/>
      <c r="Q85" s="5"/>
      <c r="R85" s="5"/>
      <c r="S85" s="5"/>
    </row>
    <row r="86" spans="1:19">
      <c r="A86" s="31"/>
      <c r="B86" s="30">
        <v>25094</v>
      </c>
      <c r="C86" s="30"/>
      <c r="D86" s="30">
        <v>1445</v>
      </c>
      <c r="E86" s="30"/>
      <c r="F86" s="30">
        <v>1380</v>
      </c>
      <c r="G86" s="30"/>
      <c r="H86" s="30"/>
      <c r="I86" s="30"/>
      <c r="J86" s="30"/>
      <c r="K86" s="33"/>
      <c r="L86" s="13"/>
      <c r="M86" s="5"/>
      <c r="N86" s="5"/>
      <c r="O86" s="5"/>
      <c r="P86" s="5"/>
      <c r="Q86" s="5"/>
      <c r="R86" s="5"/>
      <c r="S86" s="5"/>
    </row>
    <row r="87" spans="1:19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</row>
    <row r="88" spans="1:19">
      <c r="A88" s="8" t="s">
        <v>176</v>
      </c>
      <c r="B88" s="12" t="s">
        <v>341</v>
      </c>
      <c r="C88" s="12"/>
      <c r="D88" s="12"/>
      <c r="E88" s="12" t="s">
        <v>341</v>
      </c>
      <c r="F88" s="12"/>
      <c r="G88" s="12"/>
      <c r="H88" s="12"/>
      <c r="I88" s="15"/>
      <c r="J88" s="13">
        <v>10184</v>
      </c>
      <c r="K88" s="12" t="s">
        <v>342</v>
      </c>
      <c r="L88" s="5">
        <f>SUM(B88:J89)</f>
        <v>34341</v>
      </c>
      <c r="M88" s="5"/>
      <c r="N88" s="5"/>
      <c r="O88" s="5"/>
      <c r="P88" s="5"/>
      <c r="Q88" s="5"/>
      <c r="R88" s="5"/>
      <c r="S88" s="5"/>
    </row>
    <row r="89" spans="1:19">
      <c r="A89" s="5"/>
      <c r="B89" s="13">
        <v>21259</v>
      </c>
      <c r="C89" s="13"/>
      <c r="D89" s="13"/>
      <c r="E89" s="13">
        <v>2898</v>
      </c>
      <c r="F89" s="13"/>
      <c r="G89" s="13"/>
      <c r="H89" s="13"/>
      <c r="I89" s="13"/>
      <c r="J89" s="13"/>
      <c r="K89" s="14"/>
      <c r="L89" s="5"/>
      <c r="M89" s="5"/>
      <c r="N89" s="5"/>
      <c r="O89" s="5"/>
      <c r="P89" s="5"/>
      <c r="Q89" s="5"/>
      <c r="R89" s="5"/>
      <c r="S89" s="5"/>
    </row>
    <row r="90" spans="1:19">
      <c r="A90" s="5"/>
      <c r="B90" s="13"/>
      <c r="C90" s="13"/>
      <c r="D90" s="13"/>
      <c r="E90" s="13"/>
      <c r="F90" s="13"/>
      <c r="G90" s="13"/>
      <c r="H90" s="13"/>
      <c r="I90" s="13"/>
      <c r="J90" s="13"/>
      <c r="K90" s="14"/>
      <c r="L90" s="5"/>
      <c r="M90" s="5"/>
      <c r="N90" s="5"/>
      <c r="O90" s="5"/>
      <c r="P90" s="5"/>
      <c r="Q90" s="5"/>
      <c r="R90" s="5"/>
      <c r="S90" s="5"/>
    </row>
    <row r="91" spans="1:19">
      <c r="A91" s="34" t="s">
        <v>179</v>
      </c>
      <c r="B91" s="29" t="s">
        <v>256</v>
      </c>
      <c r="C91" s="29"/>
      <c r="D91" s="29"/>
      <c r="E91" s="29"/>
      <c r="F91" s="29" t="s">
        <v>256</v>
      </c>
      <c r="G91" s="29"/>
      <c r="H91" s="29"/>
      <c r="I91" s="29"/>
      <c r="J91" s="30">
        <v>12647</v>
      </c>
      <c r="K91" s="29" t="s">
        <v>257</v>
      </c>
      <c r="L91" s="5">
        <f>SUM(B91:J92)</f>
        <v>39455</v>
      </c>
      <c r="M91" s="5"/>
      <c r="N91" s="5"/>
      <c r="O91" s="5"/>
      <c r="P91" s="5"/>
      <c r="Q91" s="5"/>
      <c r="R91" s="5"/>
      <c r="S91" s="5"/>
    </row>
    <row r="92" spans="1:19">
      <c r="A92" s="31"/>
      <c r="B92" s="30">
        <v>24705</v>
      </c>
      <c r="C92" s="30"/>
      <c r="D92" s="30"/>
      <c r="E92" s="30"/>
      <c r="F92" s="30">
        <v>2103</v>
      </c>
      <c r="G92" s="30"/>
      <c r="H92" s="30"/>
      <c r="I92" s="30"/>
      <c r="J92" s="30"/>
      <c r="K92" s="30"/>
      <c r="L92" s="5"/>
      <c r="M92" s="5"/>
      <c r="N92" s="5"/>
      <c r="O92" s="5"/>
      <c r="P92" s="5"/>
      <c r="Q92" s="5"/>
      <c r="R92" s="5"/>
      <c r="S92" s="5"/>
    </row>
    <row r="93" spans="1:19">
      <c r="A93" s="5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5"/>
      <c r="M93" s="5"/>
      <c r="N93" s="5"/>
      <c r="O93" s="5"/>
      <c r="P93" s="5"/>
      <c r="Q93" s="5"/>
      <c r="R93" s="5"/>
      <c r="S93" s="5"/>
    </row>
    <row r="94" spans="1:19">
      <c r="A94" s="11" t="s">
        <v>181</v>
      </c>
      <c r="B94" s="12" t="s">
        <v>790</v>
      </c>
      <c r="C94" s="12"/>
      <c r="D94" s="12"/>
      <c r="E94" s="12"/>
      <c r="F94" s="12" t="s">
        <v>791</v>
      </c>
      <c r="G94" s="12"/>
      <c r="H94" s="12"/>
      <c r="I94" s="15"/>
      <c r="J94" s="13">
        <v>6350</v>
      </c>
      <c r="K94" s="15" t="s">
        <v>792</v>
      </c>
      <c r="L94" s="5">
        <f>SUM(B94:J95)</f>
        <v>42846</v>
      </c>
      <c r="M94" s="5"/>
      <c r="N94" s="5"/>
      <c r="O94" s="5"/>
      <c r="P94" s="5"/>
      <c r="Q94" s="5"/>
      <c r="R94" s="5"/>
      <c r="S94" s="5"/>
    </row>
    <row r="95" spans="1:19">
      <c r="A95" s="5"/>
      <c r="B95" s="13">
        <v>36004</v>
      </c>
      <c r="C95" s="13"/>
      <c r="D95" s="13"/>
      <c r="E95" s="13"/>
      <c r="F95" s="13">
        <v>492</v>
      </c>
      <c r="G95" s="13"/>
      <c r="H95" s="13"/>
      <c r="I95" s="13"/>
      <c r="J95" s="13"/>
      <c r="K95" s="13"/>
      <c r="L95" s="5"/>
      <c r="M95" s="5"/>
      <c r="N95" s="5"/>
      <c r="O95" s="5"/>
      <c r="P95" s="5"/>
      <c r="Q95" s="5"/>
      <c r="R95" s="5"/>
      <c r="S95" s="5"/>
    </row>
    <row r="96" spans="1:19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>
      <c r="A97" s="33" t="s">
        <v>4</v>
      </c>
      <c r="B97" s="32" t="s">
        <v>793</v>
      </c>
      <c r="C97" s="32" t="s">
        <v>486</v>
      </c>
      <c r="D97" s="32"/>
      <c r="E97" s="32" t="s">
        <v>486</v>
      </c>
      <c r="F97" s="32"/>
      <c r="G97" s="32"/>
      <c r="H97" s="32"/>
      <c r="I97" s="32"/>
      <c r="J97" s="30">
        <v>4223</v>
      </c>
      <c r="K97" s="32" t="s">
        <v>794</v>
      </c>
      <c r="L97" s="5">
        <f>SUM(B97:J98)</f>
        <v>32918</v>
      </c>
      <c r="M97" s="5"/>
      <c r="N97" s="5"/>
      <c r="O97" s="5"/>
      <c r="P97" s="5"/>
      <c r="Q97" s="5"/>
      <c r="R97" s="5"/>
      <c r="S97" s="5"/>
    </row>
    <row r="98" spans="1:19">
      <c r="A98" s="30"/>
      <c r="B98" s="30">
        <v>19618</v>
      </c>
      <c r="C98" s="30">
        <v>7959</v>
      </c>
      <c r="D98" s="30"/>
      <c r="E98" s="30">
        <v>1118</v>
      </c>
      <c r="F98" s="30"/>
      <c r="G98" s="30"/>
      <c r="H98" s="30"/>
      <c r="I98" s="30"/>
      <c r="J98" s="30"/>
      <c r="K98" s="33"/>
      <c r="L98" s="5"/>
      <c r="M98" s="5"/>
      <c r="N98" s="5"/>
      <c r="O98" s="5"/>
      <c r="P98" s="5"/>
      <c r="Q98" s="5"/>
      <c r="R98" s="5"/>
      <c r="S98" s="5"/>
    </row>
    <row r="99" spans="1:19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5"/>
      <c r="M99" s="5"/>
      <c r="N99" s="5"/>
      <c r="O99" s="5"/>
      <c r="P99" s="5"/>
      <c r="Q99" s="5"/>
      <c r="R99" s="5"/>
      <c r="S99" s="5"/>
    </row>
    <row r="100" spans="1:19">
      <c r="A100" s="14" t="s">
        <v>12</v>
      </c>
      <c r="B100" s="12" t="s">
        <v>223</v>
      </c>
      <c r="C100" s="12"/>
      <c r="D100" s="12"/>
      <c r="E100" s="12"/>
      <c r="F100" s="12" t="s">
        <v>223</v>
      </c>
      <c r="G100" s="12"/>
      <c r="H100" s="12"/>
      <c r="I100" s="12"/>
      <c r="J100" s="13">
        <v>9272</v>
      </c>
      <c r="K100" s="12" t="s">
        <v>282</v>
      </c>
      <c r="L100" s="5">
        <f>SUM(B100:J101)</f>
        <v>31906</v>
      </c>
      <c r="M100" s="5"/>
      <c r="N100" s="5"/>
      <c r="O100" s="5"/>
      <c r="P100" s="5"/>
      <c r="Q100" s="5"/>
      <c r="R100" s="5"/>
      <c r="S100" s="5"/>
    </row>
    <row r="101" spans="1:19">
      <c r="A101" s="13"/>
      <c r="B101" s="13">
        <v>22247</v>
      </c>
      <c r="C101" s="13"/>
      <c r="D101" s="13"/>
      <c r="E101" s="13"/>
      <c r="F101" s="13">
        <v>387</v>
      </c>
      <c r="G101" s="13"/>
      <c r="H101" s="13"/>
      <c r="I101" s="13"/>
      <c r="J101" s="13"/>
      <c r="K101" s="14"/>
      <c r="L101" s="5"/>
      <c r="M101" s="5"/>
      <c r="N101" s="5"/>
      <c r="O101" s="5"/>
      <c r="P101" s="5"/>
      <c r="Q101" s="5"/>
      <c r="R101" s="5"/>
      <c r="S101" s="5"/>
    </row>
    <row r="102" spans="1:19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5"/>
      <c r="M102" s="5"/>
      <c r="N102" s="5"/>
      <c r="O102" s="5"/>
      <c r="P102" s="5"/>
      <c r="Q102" s="5"/>
      <c r="R102" s="5"/>
      <c r="S102" s="5"/>
    </row>
    <row r="103" spans="1:19">
      <c r="A103" s="33" t="s">
        <v>19</v>
      </c>
      <c r="B103" s="32" t="s">
        <v>20</v>
      </c>
      <c r="C103" s="32"/>
      <c r="D103" s="32"/>
      <c r="E103" s="32"/>
      <c r="F103" s="32"/>
      <c r="G103" s="32"/>
      <c r="H103" s="32"/>
      <c r="I103" s="32"/>
      <c r="J103" s="30">
        <v>6847</v>
      </c>
      <c r="K103" s="32" t="s">
        <v>21</v>
      </c>
      <c r="L103" s="5">
        <f>SUM(B103:J104)</f>
        <v>41261</v>
      </c>
      <c r="M103" s="5"/>
      <c r="N103" s="5"/>
      <c r="O103" s="5"/>
      <c r="P103" s="5"/>
      <c r="Q103" s="5"/>
      <c r="R103" s="5"/>
      <c r="S103" s="5"/>
    </row>
    <row r="104" spans="1:19">
      <c r="A104" s="30"/>
      <c r="B104" s="30">
        <v>34414</v>
      </c>
      <c r="C104" s="30"/>
      <c r="D104" s="30"/>
      <c r="E104" s="30"/>
      <c r="F104" s="30"/>
      <c r="G104" s="30"/>
      <c r="H104" s="30"/>
      <c r="I104" s="30"/>
      <c r="J104" s="30"/>
      <c r="K104" s="33"/>
      <c r="L104" s="5"/>
      <c r="M104" s="5"/>
      <c r="N104" s="5"/>
      <c r="O104" s="5"/>
      <c r="P104" s="5"/>
      <c r="Q104" s="5"/>
      <c r="R104" s="5"/>
      <c r="S104" s="5"/>
    </row>
    <row r="105" spans="1:19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5"/>
      <c r="M105" s="5"/>
      <c r="N105" s="5"/>
      <c r="O105" s="5"/>
      <c r="P105" s="5"/>
      <c r="Q105" s="5"/>
      <c r="R105" s="5"/>
      <c r="S105" s="5"/>
    </row>
    <row r="106" spans="1:19">
      <c r="A106" s="14" t="s">
        <v>30</v>
      </c>
      <c r="B106" s="12" t="s">
        <v>795</v>
      </c>
      <c r="C106" s="12"/>
      <c r="D106" s="12"/>
      <c r="E106" s="12"/>
      <c r="F106" s="12" t="s">
        <v>796</v>
      </c>
      <c r="G106" s="12"/>
      <c r="H106" s="12"/>
      <c r="I106" s="12" t="s">
        <v>956</v>
      </c>
      <c r="J106" s="13">
        <v>6547</v>
      </c>
      <c r="K106" s="12" t="s">
        <v>797</v>
      </c>
      <c r="L106" s="5">
        <f>SUM(B106:J107)</f>
        <v>45204</v>
      </c>
      <c r="M106" s="5"/>
      <c r="N106" s="5"/>
      <c r="O106" s="5"/>
      <c r="P106" s="5"/>
      <c r="Q106" s="5"/>
      <c r="R106" s="5"/>
      <c r="S106" s="5"/>
    </row>
    <row r="107" spans="1:19">
      <c r="A107" s="13"/>
      <c r="B107" s="13">
        <v>33795</v>
      </c>
      <c r="C107" s="13"/>
      <c r="D107" s="13"/>
      <c r="E107" s="13"/>
      <c r="F107" s="13">
        <v>769</v>
      </c>
      <c r="G107" s="13"/>
      <c r="H107" s="13"/>
      <c r="I107" s="14">
        <v>4093</v>
      </c>
      <c r="J107" s="13"/>
      <c r="K107" s="14"/>
      <c r="L107" s="5"/>
      <c r="M107" s="5"/>
      <c r="N107" s="5"/>
      <c r="O107" s="5"/>
      <c r="P107" s="5"/>
      <c r="Q107" s="5"/>
      <c r="R107" s="5"/>
      <c r="S107" s="5"/>
    </row>
    <row r="108" spans="1:19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5"/>
      <c r="M108" s="5"/>
      <c r="N108" s="5"/>
      <c r="O108" s="5"/>
      <c r="P108" s="5"/>
      <c r="Q108" s="5"/>
      <c r="R108" s="5"/>
      <c r="S108" s="5"/>
    </row>
    <row r="109" spans="1:19">
      <c r="A109" s="33" t="s">
        <v>34</v>
      </c>
      <c r="B109" s="32" t="s">
        <v>273</v>
      </c>
      <c r="C109" s="32"/>
      <c r="D109" s="32"/>
      <c r="E109" s="32"/>
      <c r="F109" s="32" t="s">
        <v>273</v>
      </c>
      <c r="G109" s="32"/>
      <c r="H109" s="32"/>
      <c r="I109" s="32"/>
      <c r="J109" s="30">
        <v>6794</v>
      </c>
      <c r="K109" s="32" t="s">
        <v>274</v>
      </c>
      <c r="L109" s="5">
        <f>SUM(B109:J110)</f>
        <v>25627</v>
      </c>
      <c r="M109" s="5"/>
      <c r="N109" s="5"/>
      <c r="O109" s="5"/>
      <c r="P109" s="5"/>
      <c r="Q109" s="5"/>
      <c r="R109" s="5"/>
      <c r="S109" s="5"/>
    </row>
    <row r="110" spans="1:19">
      <c r="A110" s="30"/>
      <c r="B110" s="30">
        <v>17796</v>
      </c>
      <c r="C110" s="30"/>
      <c r="D110" s="30"/>
      <c r="E110" s="30"/>
      <c r="F110" s="30">
        <v>1037</v>
      </c>
      <c r="G110" s="30"/>
      <c r="H110" s="30"/>
      <c r="I110" s="33"/>
      <c r="J110" s="30"/>
      <c r="K110" s="33"/>
      <c r="L110" s="5"/>
      <c r="M110" s="5"/>
      <c r="N110" s="5"/>
      <c r="O110" s="5"/>
      <c r="P110" s="5"/>
      <c r="Q110" s="5"/>
      <c r="R110" s="5"/>
      <c r="S110" s="5"/>
    </row>
    <row r="111" spans="1:19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5"/>
      <c r="M111" s="5"/>
      <c r="N111" s="5"/>
      <c r="O111" s="5"/>
      <c r="P111" s="5"/>
      <c r="Q111" s="5"/>
      <c r="R111" s="5"/>
      <c r="S111" s="5"/>
    </row>
    <row r="112" spans="1:19">
      <c r="A112" s="14" t="s">
        <v>41</v>
      </c>
      <c r="B112" s="12" t="s">
        <v>42</v>
      </c>
      <c r="C112" s="12"/>
      <c r="D112" s="12"/>
      <c r="E112" s="12"/>
      <c r="F112" s="12" t="s">
        <v>957</v>
      </c>
      <c r="G112" s="12"/>
      <c r="H112" s="12"/>
      <c r="I112" s="12"/>
      <c r="J112" s="13">
        <v>5735</v>
      </c>
      <c r="K112" s="12" t="s">
        <v>43</v>
      </c>
      <c r="L112" s="5">
        <f>SUM(B112:J113)</f>
        <v>24743</v>
      </c>
      <c r="M112" s="5"/>
      <c r="N112" s="5"/>
      <c r="O112" s="5"/>
      <c r="P112" s="5"/>
      <c r="Q112" s="5"/>
      <c r="R112" s="5"/>
      <c r="S112" s="5"/>
    </row>
    <row r="113" spans="1:19">
      <c r="A113" s="13"/>
      <c r="B113" s="13">
        <v>18366</v>
      </c>
      <c r="C113" s="13"/>
      <c r="D113" s="13"/>
      <c r="E113" s="13"/>
      <c r="F113" s="13">
        <v>642</v>
      </c>
      <c r="G113" s="13"/>
      <c r="H113" s="13"/>
      <c r="I113" s="14"/>
      <c r="J113" s="13"/>
      <c r="K113" s="14"/>
      <c r="L113" s="5"/>
      <c r="M113" s="5"/>
      <c r="N113" s="5"/>
      <c r="O113" s="5"/>
      <c r="P113" s="5"/>
      <c r="Q113" s="5"/>
      <c r="R113" s="5"/>
      <c r="S113" s="5"/>
    </row>
    <row r="114" spans="1:19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5"/>
      <c r="M114" s="5"/>
      <c r="N114" s="5"/>
      <c r="O114" s="5"/>
      <c r="P114" s="5"/>
      <c r="Q114" s="5"/>
      <c r="R114" s="5"/>
      <c r="S114" s="5"/>
    </row>
    <row r="115" spans="1:19">
      <c r="A115" s="33" t="s">
        <v>47</v>
      </c>
      <c r="B115" s="32" t="s">
        <v>300</v>
      </c>
      <c r="C115" s="32" t="s">
        <v>958</v>
      </c>
      <c r="D115" s="32"/>
      <c r="E115" s="32"/>
      <c r="F115" s="32" t="s">
        <v>300</v>
      </c>
      <c r="G115" s="32"/>
      <c r="H115" s="32"/>
      <c r="I115" s="32"/>
      <c r="J115" s="30">
        <v>5181</v>
      </c>
      <c r="K115" s="32" t="s">
        <v>301</v>
      </c>
      <c r="L115" s="5">
        <f>SUM(B115:J116)</f>
        <v>36505</v>
      </c>
      <c r="M115" s="5"/>
      <c r="N115" s="5"/>
      <c r="O115" s="5"/>
      <c r="P115" s="5"/>
      <c r="Q115" s="5"/>
      <c r="R115" s="5"/>
      <c r="S115" s="5"/>
    </row>
    <row r="116" spans="1:19">
      <c r="A116" s="30"/>
      <c r="B116" s="30">
        <v>24724</v>
      </c>
      <c r="C116" s="30">
        <v>4993</v>
      </c>
      <c r="D116" s="30"/>
      <c r="E116" s="30"/>
      <c r="F116" s="30">
        <v>1607</v>
      </c>
      <c r="G116" s="30"/>
      <c r="H116" s="30"/>
      <c r="I116" s="30"/>
      <c r="J116" s="30"/>
      <c r="K116" s="33"/>
      <c r="L116" s="5"/>
      <c r="M116" s="5"/>
      <c r="N116" s="5"/>
      <c r="O116" s="5"/>
      <c r="P116" s="5"/>
      <c r="Q116" s="5"/>
      <c r="R116" s="5"/>
      <c r="S116" s="5"/>
    </row>
    <row r="117" spans="1:19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5"/>
      <c r="M117" s="5"/>
      <c r="N117" s="5"/>
      <c r="O117" s="5"/>
      <c r="P117" s="5"/>
      <c r="Q117" s="5"/>
      <c r="R117" s="5"/>
      <c r="S117" s="5"/>
    </row>
    <row r="118" spans="1:19">
      <c r="A118" s="14" t="s">
        <v>53</v>
      </c>
      <c r="B118" s="12" t="s">
        <v>54</v>
      </c>
      <c r="C118" s="12" t="s">
        <v>719</v>
      </c>
      <c r="D118" s="12"/>
      <c r="E118" s="12"/>
      <c r="F118" s="12" t="s">
        <v>302</v>
      </c>
      <c r="G118" s="12"/>
      <c r="H118" s="12"/>
      <c r="I118" s="15"/>
      <c r="J118" s="13">
        <v>4153</v>
      </c>
      <c r="K118" s="12" t="s">
        <v>55</v>
      </c>
      <c r="L118" s="5">
        <f>SUM(B118:J119)</f>
        <v>31880</v>
      </c>
      <c r="M118" s="5"/>
      <c r="N118" s="5"/>
      <c r="O118" s="5"/>
      <c r="P118" s="5"/>
      <c r="Q118" s="5"/>
      <c r="R118" s="5"/>
      <c r="S118" s="5"/>
    </row>
    <row r="119" spans="1:19">
      <c r="A119" s="13"/>
      <c r="B119" s="13">
        <v>23029</v>
      </c>
      <c r="C119" s="13">
        <v>3384</v>
      </c>
      <c r="D119" s="13"/>
      <c r="E119" s="13"/>
      <c r="F119" s="13">
        <v>1314</v>
      </c>
      <c r="G119" s="13"/>
      <c r="H119" s="13"/>
      <c r="I119" s="13"/>
      <c r="J119" s="13"/>
      <c r="K119" s="14"/>
      <c r="L119" s="5"/>
      <c r="M119" s="5"/>
      <c r="N119" s="5"/>
      <c r="O119" s="5"/>
      <c r="P119" s="5"/>
      <c r="Q119" s="5"/>
      <c r="R119" s="5"/>
      <c r="S119" s="5"/>
    </row>
    <row r="120" spans="1:19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5"/>
      <c r="M120" s="5"/>
      <c r="N120" s="5"/>
      <c r="O120" s="5"/>
      <c r="P120" s="5"/>
      <c r="Q120" s="5"/>
      <c r="R120" s="5"/>
      <c r="S120" s="5"/>
    </row>
    <row r="121" spans="1:19">
      <c r="A121" s="33" t="s">
        <v>61</v>
      </c>
      <c r="B121" s="32" t="s">
        <v>231</v>
      </c>
      <c r="C121" s="32"/>
      <c r="D121" s="32"/>
      <c r="E121" s="32"/>
      <c r="F121" s="32" t="s">
        <v>231</v>
      </c>
      <c r="G121" s="32"/>
      <c r="H121" s="32"/>
      <c r="I121" s="32"/>
      <c r="J121" s="30">
        <v>6640</v>
      </c>
      <c r="K121" s="32" t="s">
        <v>303</v>
      </c>
      <c r="L121" s="5">
        <f>SUM(B121:J122)</f>
        <v>26452</v>
      </c>
      <c r="M121" s="5"/>
      <c r="N121" s="5"/>
      <c r="O121" s="5"/>
      <c r="P121" s="5"/>
      <c r="Q121" s="5"/>
      <c r="R121" s="5"/>
      <c r="S121" s="5"/>
    </row>
    <row r="122" spans="1:19">
      <c r="A122" s="30"/>
      <c r="B122" s="30">
        <v>18545</v>
      </c>
      <c r="C122" s="30"/>
      <c r="D122" s="30"/>
      <c r="E122" s="30"/>
      <c r="F122" s="30">
        <v>1267</v>
      </c>
      <c r="G122" s="30"/>
      <c r="H122" s="30"/>
      <c r="I122" s="30"/>
      <c r="J122" s="30"/>
      <c r="K122" s="33"/>
      <c r="L122" s="5"/>
      <c r="M122" s="5"/>
      <c r="N122" s="5"/>
      <c r="O122" s="5"/>
      <c r="P122" s="5"/>
      <c r="Q122" s="5"/>
      <c r="R122" s="5"/>
      <c r="S122" s="5"/>
    </row>
    <row r="123" spans="1:19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5"/>
      <c r="M123" s="5"/>
      <c r="N123" s="5"/>
      <c r="O123" s="5"/>
      <c r="P123" s="5"/>
      <c r="Q123" s="5"/>
      <c r="R123" s="5"/>
      <c r="S123" s="5"/>
    </row>
    <row r="124" spans="1:19">
      <c r="A124" s="14" t="s">
        <v>65</v>
      </c>
      <c r="B124" s="12" t="s">
        <v>304</v>
      </c>
      <c r="C124" s="12"/>
      <c r="D124" s="12"/>
      <c r="E124" s="12"/>
      <c r="F124" s="12" t="s">
        <v>304</v>
      </c>
      <c r="G124" s="12"/>
      <c r="H124" s="12"/>
      <c r="I124" s="12"/>
      <c r="J124" s="13">
        <v>5392</v>
      </c>
      <c r="K124" s="12" t="s">
        <v>305</v>
      </c>
      <c r="L124" s="5">
        <f>SUM(B124:J125)</f>
        <v>20055</v>
      </c>
      <c r="M124" s="5"/>
      <c r="N124" s="5"/>
      <c r="O124" s="5"/>
      <c r="P124" s="5"/>
      <c r="Q124" s="5"/>
      <c r="R124" s="5"/>
      <c r="S124" s="5"/>
    </row>
    <row r="125" spans="1:19">
      <c r="A125" s="13"/>
      <c r="B125" s="13">
        <v>13958</v>
      </c>
      <c r="C125" s="13"/>
      <c r="D125" s="13"/>
      <c r="E125" s="13"/>
      <c r="F125" s="13">
        <v>705</v>
      </c>
      <c r="G125" s="13"/>
      <c r="H125" s="13"/>
      <c r="I125" s="14"/>
      <c r="J125" s="13"/>
      <c r="K125" s="14"/>
      <c r="L125" s="5"/>
      <c r="M125" s="5"/>
      <c r="N125" s="5"/>
      <c r="O125" s="5"/>
      <c r="P125" s="5"/>
      <c r="Q125" s="5"/>
      <c r="R125" s="5"/>
      <c r="S125" s="5"/>
    </row>
    <row r="126" spans="1:19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5"/>
      <c r="M126" s="5"/>
      <c r="N126" s="5"/>
      <c r="O126" s="5"/>
      <c r="P126" s="5"/>
      <c r="Q126" s="5"/>
      <c r="R126" s="5"/>
      <c r="S126" s="5"/>
    </row>
    <row r="127" spans="1:19">
      <c r="A127" s="33" t="s">
        <v>71</v>
      </c>
      <c r="B127" s="32" t="s">
        <v>343</v>
      </c>
      <c r="C127" s="32" t="s">
        <v>798</v>
      </c>
      <c r="D127" s="32" t="s">
        <v>343</v>
      </c>
      <c r="E127" s="32"/>
      <c r="F127" s="32" t="s">
        <v>343</v>
      </c>
      <c r="G127" s="32"/>
      <c r="H127" s="32"/>
      <c r="I127" s="32"/>
      <c r="J127" s="30">
        <v>3651</v>
      </c>
      <c r="K127" s="32" t="s">
        <v>959</v>
      </c>
      <c r="L127" s="5">
        <f>SUM(B127:J128)</f>
        <v>23520</v>
      </c>
      <c r="M127" s="5"/>
      <c r="N127" s="5"/>
      <c r="O127" s="5"/>
      <c r="P127" s="5"/>
      <c r="Q127" s="5"/>
      <c r="R127" s="5"/>
      <c r="S127" s="5"/>
    </row>
    <row r="128" spans="1:19">
      <c r="A128" s="30"/>
      <c r="B128" s="30">
        <v>12927</v>
      </c>
      <c r="C128" s="30">
        <v>6409</v>
      </c>
      <c r="D128" s="30">
        <v>147</v>
      </c>
      <c r="E128" s="30"/>
      <c r="F128" s="30">
        <v>386</v>
      </c>
      <c r="G128" s="30"/>
      <c r="H128" s="30"/>
      <c r="I128" s="33"/>
      <c r="J128" s="30"/>
      <c r="K128" s="33"/>
      <c r="L128" s="5"/>
      <c r="M128" s="5"/>
      <c r="N128" s="5"/>
      <c r="O128" s="5"/>
      <c r="P128" s="5"/>
      <c r="Q128" s="5"/>
      <c r="R128" s="5"/>
      <c r="S128" s="5"/>
    </row>
    <row r="129" spans="1:19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5"/>
      <c r="M129" s="5"/>
      <c r="N129" s="5"/>
      <c r="O129" s="5"/>
      <c r="P129" s="5"/>
      <c r="Q129" s="5"/>
      <c r="R129" s="5"/>
      <c r="S129" s="5"/>
    </row>
    <row r="130" spans="1:19">
      <c r="A130" s="14" t="s">
        <v>75</v>
      </c>
      <c r="B130" s="12" t="s">
        <v>76</v>
      </c>
      <c r="C130" s="12" t="s">
        <v>960</v>
      </c>
      <c r="D130" s="12" t="s">
        <v>960</v>
      </c>
      <c r="E130" s="12" t="s">
        <v>960</v>
      </c>
      <c r="F130" s="12" t="s">
        <v>306</v>
      </c>
      <c r="G130" s="12"/>
      <c r="H130" s="12"/>
      <c r="I130" s="12"/>
      <c r="J130" s="13">
        <v>3992</v>
      </c>
      <c r="K130" s="12" t="s">
        <v>77</v>
      </c>
      <c r="L130" s="5">
        <f>SUM(B130:J131)</f>
        <v>36944</v>
      </c>
      <c r="M130" s="5"/>
      <c r="N130" s="5"/>
      <c r="O130" s="5"/>
      <c r="P130" s="5"/>
      <c r="Q130" s="5"/>
      <c r="R130" s="5"/>
      <c r="S130" s="5"/>
    </row>
    <row r="131" spans="1:19">
      <c r="A131" s="13"/>
      <c r="B131" s="13">
        <v>25164</v>
      </c>
      <c r="C131" s="13">
        <v>5737</v>
      </c>
      <c r="D131" s="13">
        <v>212</v>
      </c>
      <c r="E131" s="13">
        <v>746</v>
      </c>
      <c r="F131" s="13">
        <v>1093</v>
      </c>
      <c r="G131" s="13"/>
      <c r="H131" s="13"/>
      <c r="I131" s="13"/>
      <c r="J131" s="13"/>
      <c r="K131" s="14"/>
      <c r="L131" s="5"/>
      <c r="M131" s="5"/>
      <c r="N131" s="5"/>
      <c r="O131" s="5"/>
      <c r="P131" s="5"/>
      <c r="Q131" s="5"/>
      <c r="R131" s="5"/>
      <c r="S131" s="5"/>
    </row>
    <row r="132" spans="1:19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5"/>
      <c r="M132" s="5"/>
      <c r="N132" s="5"/>
      <c r="O132" s="5"/>
      <c r="P132" s="5"/>
      <c r="Q132" s="5"/>
      <c r="R132" s="5"/>
      <c r="S132" s="5"/>
    </row>
    <row r="133" spans="1:19">
      <c r="A133" s="33" t="s">
        <v>82</v>
      </c>
      <c r="B133" s="32" t="s">
        <v>961</v>
      </c>
      <c r="C133" s="32"/>
      <c r="D133" s="32"/>
      <c r="E133" s="32"/>
      <c r="F133" s="32" t="s">
        <v>962</v>
      </c>
      <c r="G133" s="32"/>
      <c r="H133" s="32"/>
      <c r="I133" s="32"/>
      <c r="J133" s="30">
        <v>5229</v>
      </c>
      <c r="K133" s="32" t="s">
        <v>963</v>
      </c>
      <c r="L133" s="5">
        <f>SUM(B133:J134)</f>
        <v>37120</v>
      </c>
      <c r="M133" s="5"/>
      <c r="N133" s="5"/>
      <c r="O133" s="5"/>
      <c r="P133" s="5"/>
      <c r="Q133" s="5"/>
      <c r="R133" s="5"/>
      <c r="S133" s="5"/>
    </row>
    <row r="134" spans="1:19">
      <c r="A134" s="30"/>
      <c r="B134" s="30">
        <v>30649</v>
      </c>
      <c r="C134" s="30"/>
      <c r="D134" s="30"/>
      <c r="E134" s="30"/>
      <c r="F134" s="30">
        <v>1242</v>
      </c>
      <c r="G134" s="30"/>
      <c r="H134" s="30"/>
      <c r="I134" s="30"/>
      <c r="J134" s="30"/>
      <c r="K134" s="33"/>
      <c r="L134" s="5"/>
      <c r="M134" s="5"/>
      <c r="N134" s="5"/>
      <c r="O134" s="5"/>
      <c r="P134" s="5"/>
      <c r="Q134" s="5"/>
      <c r="R134" s="5"/>
      <c r="S134" s="5"/>
    </row>
    <row r="135" spans="1:19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5"/>
      <c r="M135" s="5"/>
      <c r="N135" s="5"/>
      <c r="O135" s="5"/>
      <c r="P135" s="5"/>
      <c r="Q135" s="5"/>
      <c r="R135" s="5"/>
      <c r="S135" s="5"/>
    </row>
    <row r="136" spans="1:19">
      <c r="A136" s="14" t="s">
        <v>85</v>
      </c>
      <c r="B136" s="12" t="s">
        <v>801</v>
      </c>
      <c r="C136" s="12" t="s">
        <v>964</v>
      </c>
      <c r="D136" s="12"/>
      <c r="E136" s="12" t="s">
        <v>964</v>
      </c>
      <c r="F136" s="12" t="s">
        <v>801</v>
      </c>
      <c r="G136" s="12"/>
      <c r="H136" s="12"/>
      <c r="I136" s="12"/>
      <c r="J136" s="13">
        <v>4214</v>
      </c>
      <c r="K136" s="12" t="s">
        <v>803</v>
      </c>
      <c r="L136" s="5">
        <f>SUM(B136:J137)</f>
        <v>40615</v>
      </c>
      <c r="M136" s="5"/>
      <c r="N136" s="5"/>
      <c r="O136" s="5"/>
      <c r="P136" s="5"/>
      <c r="Q136" s="5"/>
      <c r="R136" s="5"/>
      <c r="S136" s="5"/>
    </row>
    <row r="137" spans="1:19">
      <c r="A137" s="13"/>
      <c r="B137" s="13">
        <v>33460</v>
      </c>
      <c r="C137" s="13">
        <v>1391</v>
      </c>
      <c r="D137" s="13"/>
      <c r="E137" s="13">
        <v>449</v>
      </c>
      <c r="F137" s="13">
        <v>1101</v>
      </c>
      <c r="G137" s="13"/>
      <c r="H137" s="13"/>
      <c r="I137" s="13"/>
      <c r="J137" s="13"/>
      <c r="K137" s="14"/>
      <c r="L137" s="5"/>
      <c r="M137" s="5"/>
      <c r="N137" s="5"/>
      <c r="O137" s="5"/>
      <c r="P137" s="5"/>
      <c r="Q137" s="5"/>
      <c r="R137" s="5"/>
      <c r="S137" s="5"/>
    </row>
    <row r="138" spans="1:19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5"/>
      <c r="M138" s="5"/>
      <c r="N138" s="5"/>
      <c r="O138" s="5"/>
      <c r="P138" s="5"/>
      <c r="Q138" s="5"/>
      <c r="R138" s="5"/>
      <c r="S138" s="5"/>
    </row>
    <row r="139" spans="1:19">
      <c r="A139" s="33" t="s">
        <v>90</v>
      </c>
      <c r="B139" s="32" t="s">
        <v>807</v>
      </c>
      <c r="C139" s="32" t="s">
        <v>965</v>
      </c>
      <c r="D139" s="32"/>
      <c r="E139" s="32" t="s">
        <v>965</v>
      </c>
      <c r="F139" s="32" t="s">
        <v>809</v>
      </c>
      <c r="G139" s="32"/>
      <c r="H139" s="32"/>
      <c r="I139" s="32"/>
      <c r="J139" s="30">
        <v>5084</v>
      </c>
      <c r="K139" s="32" t="s">
        <v>810</v>
      </c>
      <c r="L139" s="5">
        <f>SUM(B139:J140)</f>
        <v>38817</v>
      </c>
      <c r="M139" s="5"/>
      <c r="N139" s="5"/>
      <c r="O139" s="5"/>
      <c r="P139" s="5"/>
      <c r="Q139" s="5"/>
      <c r="R139" s="5"/>
      <c r="S139" s="5"/>
    </row>
    <row r="140" spans="1:19">
      <c r="A140" s="30"/>
      <c r="B140" s="30">
        <v>24934</v>
      </c>
      <c r="C140" s="30">
        <v>4357</v>
      </c>
      <c r="D140" s="30"/>
      <c r="E140" s="30">
        <v>1032</v>
      </c>
      <c r="F140" s="30">
        <v>3410</v>
      </c>
      <c r="G140" s="30"/>
      <c r="H140" s="30"/>
      <c r="I140" s="33"/>
      <c r="J140" s="30"/>
      <c r="K140" s="33"/>
      <c r="L140" s="5"/>
      <c r="M140" s="5"/>
      <c r="N140" s="5"/>
      <c r="O140" s="5"/>
      <c r="P140" s="5"/>
      <c r="Q140" s="5"/>
      <c r="R140" s="5"/>
      <c r="S140" s="5"/>
    </row>
    <row r="141" spans="1:19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5"/>
      <c r="M141" s="5"/>
      <c r="N141" s="5"/>
      <c r="O141" s="5"/>
      <c r="P141" s="5"/>
      <c r="Q141" s="5"/>
      <c r="R141" s="5"/>
      <c r="S141" s="5"/>
    </row>
    <row r="142" spans="1:19">
      <c r="A142" s="14" t="s">
        <v>93</v>
      </c>
      <c r="B142" s="12" t="s">
        <v>188</v>
      </c>
      <c r="C142" s="12" t="s">
        <v>772</v>
      </c>
      <c r="D142" s="12" t="s">
        <v>811</v>
      </c>
      <c r="E142" s="12" t="s">
        <v>772</v>
      </c>
      <c r="F142" s="12" t="s">
        <v>188</v>
      </c>
      <c r="G142" s="12"/>
      <c r="H142" s="12"/>
      <c r="I142" s="12"/>
      <c r="J142" s="13">
        <v>3211</v>
      </c>
      <c r="K142" s="12" t="s">
        <v>199</v>
      </c>
      <c r="L142" s="5">
        <f>SUM(B142:J143)</f>
        <v>24738</v>
      </c>
      <c r="M142" s="5"/>
      <c r="N142" s="5"/>
      <c r="O142" s="5"/>
      <c r="P142" s="5"/>
      <c r="Q142" s="5"/>
      <c r="R142" s="5"/>
      <c r="S142" s="5"/>
    </row>
    <row r="143" spans="1:19">
      <c r="A143" s="13"/>
      <c r="B143" s="13">
        <v>10990</v>
      </c>
      <c r="C143" s="13">
        <v>5008</v>
      </c>
      <c r="D143" s="13">
        <v>4151</v>
      </c>
      <c r="E143" s="13">
        <v>509</v>
      </c>
      <c r="F143" s="13">
        <v>869</v>
      </c>
      <c r="G143" s="13"/>
      <c r="H143" s="13"/>
      <c r="I143" s="13"/>
      <c r="J143" s="13"/>
      <c r="K143" s="14"/>
      <c r="L143" s="5"/>
      <c r="M143" s="5"/>
      <c r="N143" s="5"/>
      <c r="O143" s="5"/>
      <c r="P143" s="5"/>
      <c r="Q143" s="5"/>
      <c r="R143" s="5"/>
      <c r="S143" s="5"/>
    </row>
    <row r="144" spans="1:19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5"/>
      <c r="M144" s="5"/>
      <c r="N144" s="5"/>
      <c r="O144" s="5"/>
      <c r="P144" s="5"/>
      <c r="Q144" s="5"/>
      <c r="R144" s="5"/>
      <c r="S144" s="5"/>
    </row>
    <row r="145" spans="1:19">
      <c r="A145" s="33" t="s">
        <v>97</v>
      </c>
      <c r="B145" s="32" t="s">
        <v>812</v>
      </c>
      <c r="C145" s="32" t="s">
        <v>966</v>
      </c>
      <c r="D145" s="32"/>
      <c r="E145" s="32" t="s">
        <v>966</v>
      </c>
      <c r="F145" s="32" t="s">
        <v>812</v>
      </c>
      <c r="G145" s="32" t="s">
        <v>590</v>
      </c>
      <c r="H145" s="32"/>
      <c r="I145" s="32"/>
      <c r="J145" s="30">
        <v>6470</v>
      </c>
      <c r="K145" s="32" t="s">
        <v>814</v>
      </c>
      <c r="L145" s="5">
        <f>SUM(B145:J146)</f>
        <v>32606</v>
      </c>
      <c r="M145" s="5"/>
      <c r="N145" s="5"/>
      <c r="O145" s="5"/>
      <c r="P145" s="5"/>
      <c r="Q145" s="5"/>
      <c r="R145" s="5"/>
      <c r="S145" s="5"/>
    </row>
    <row r="146" spans="1:19">
      <c r="A146" s="30"/>
      <c r="B146" s="30">
        <v>15194</v>
      </c>
      <c r="C146" s="30">
        <v>8507</v>
      </c>
      <c r="D146" s="30"/>
      <c r="E146" s="30">
        <v>1173</v>
      </c>
      <c r="F146" s="30">
        <v>822</v>
      </c>
      <c r="G146" s="30">
        <v>440</v>
      </c>
      <c r="H146" s="30"/>
      <c r="I146" s="33"/>
      <c r="J146" s="30"/>
      <c r="K146" s="33"/>
      <c r="L146" s="5"/>
      <c r="M146" s="5"/>
      <c r="N146" s="5"/>
      <c r="O146" s="5"/>
      <c r="P146" s="5"/>
      <c r="Q146" s="5"/>
      <c r="R146" s="5"/>
      <c r="S146" s="5"/>
    </row>
    <row r="147" spans="1:19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5"/>
      <c r="M147" s="5"/>
      <c r="N147" s="5"/>
      <c r="O147" s="5"/>
      <c r="P147" s="5"/>
      <c r="Q147" s="5"/>
      <c r="R147" s="5"/>
      <c r="S147" s="5"/>
    </row>
    <row r="148" spans="1:19">
      <c r="A148" s="14" t="s">
        <v>101</v>
      </c>
      <c r="B148" s="12" t="s">
        <v>200</v>
      </c>
      <c r="C148" s="12" t="s">
        <v>967</v>
      </c>
      <c r="D148" s="12"/>
      <c r="E148" s="12" t="s">
        <v>967</v>
      </c>
      <c r="F148" s="12" t="s">
        <v>200</v>
      </c>
      <c r="G148" s="12"/>
      <c r="H148" s="12"/>
      <c r="I148" s="12"/>
      <c r="J148" s="13">
        <v>3163</v>
      </c>
      <c r="K148" s="12" t="s">
        <v>102</v>
      </c>
      <c r="L148" s="5">
        <f>SUM(B148:J149)</f>
        <v>22475</v>
      </c>
      <c r="M148" s="5"/>
      <c r="N148" s="5"/>
      <c r="O148" s="5"/>
      <c r="P148" s="5"/>
      <c r="Q148" s="5"/>
      <c r="R148" s="5"/>
      <c r="S148" s="5"/>
    </row>
    <row r="149" spans="1:19">
      <c r="A149" s="13"/>
      <c r="B149" s="13">
        <v>13393</v>
      </c>
      <c r="C149" s="13">
        <v>4436</v>
      </c>
      <c r="D149" s="13"/>
      <c r="E149" s="14">
        <v>506</v>
      </c>
      <c r="F149" s="14">
        <v>977</v>
      </c>
      <c r="G149" s="14"/>
      <c r="H149" s="14"/>
      <c r="I149" s="14"/>
      <c r="J149" s="13"/>
      <c r="K149" s="14"/>
      <c r="L149" s="5"/>
      <c r="M149" s="5"/>
      <c r="N149" s="5"/>
      <c r="O149" s="5"/>
      <c r="P149" s="5"/>
      <c r="Q149" s="5"/>
      <c r="R149" s="5"/>
      <c r="S149" s="5"/>
    </row>
    <row r="150" spans="1:19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5"/>
      <c r="M150" s="5"/>
      <c r="N150" s="5"/>
      <c r="O150" s="5"/>
      <c r="P150" s="5"/>
      <c r="Q150" s="5"/>
      <c r="R150" s="5"/>
      <c r="S150" s="5"/>
    </row>
    <row r="151" spans="1:19">
      <c r="A151" s="33" t="s">
        <v>106</v>
      </c>
      <c r="B151" s="32" t="s">
        <v>107</v>
      </c>
      <c r="C151" s="32"/>
      <c r="D151" s="31"/>
      <c r="E151" s="32"/>
      <c r="F151" s="32"/>
      <c r="G151" s="32"/>
      <c r="H151" s="32"/>
      <c r="I151" s="32" t="s">
        <v>968</v>
      </c>
      <c r="J151" s="30">
        <v>5574</v>
      </c>
      <c r="K151" s="32" t="s">
        <v>108</v>
      </c>
      <c r="L151" s="5">
        <f>SUM(B151:J154)</f>
        <v>26054</v>
      </c>
      <c r="M151" s="5"/>
      <c r="N151" s="5"/>
      <c r="O151" s="5"/>
      <c r="P151" s="5"/>
      <c r="Q151" s="5"/>
      <c r="R151" s="5"/>
      <c r="S151" s="5"/>
    </row>
    <row r="152" spans="1:19">
      <c r="A152" s="30"/>
      <c r="B152" s="30">
        <v>18279</v>
      </c>
      <c r="C152" s="30"/>
      <c r="D152" s="31"/>
      <c r="E152" s="30"/>
      <c r="F152" s="30"/>
      <c r="G152" s="30"/>
      <c r="H152" s="30"/>
      <c r="I152" s="33">
        <v>1216</v>
      </c>
      <c r="J152" s="30"/>
      <c r="K152" s="33"/>
      <c r="L152" s="5"/>
      <c r="M152" s="5"/>
      <c r="N152" s="5"/>
      <c r="O152" s="5"/>
      <c r="P152" s="5"/>
      <c r="Q152" s="5"/>
      <c r="R152" s="5"/>
      <c r="S152" s="5"/>
    </row>
    <row r="153" spans="1:19">
      <c r="A153" s="30"/>
      <c r="B153" s="30"/>
      <c r="C153" s="30"/>
      <c r="D153" s="31"/>
      <c r="E153" s="30"/>
      <c r="F153" s="30"/>
      <c r="G153" s="30"/>
      <c r="H153" s="30"/>
      <c r="I153" s="32" t="s">
        <v>969</v>
      </c>
      <c r="J153" s="30"/>
      <c r="K153" s="33"/>
      <c r="L153" s="5"/>
      <c r="M153" s="5"/>
      <c r="N153" s="5"/>
      <c r="O153" s="5"/>
      <c r="P153" s="5"/>
      <c r="Q153" s="5"/>
      <c r="R153" s="5"/>
      <c r="S153" s="5"/>
    </row>
    <row r="154" spans="1:19">
      <c r="A154" s="30"/>
      <c r="B154" s="30"/>
      <c r="C154" s="30"/>
      <c r="D154" s="31"/>
      <c r="E154" s="30"/>
      <c r="F154" s="30"/>
      <c r="G154" s="30"/>
      <c r="H154" s="30"/>
      <c r="I154" s="33">
        <v>985</v>
      </c>
      <c r="J154" s="30"/>
      <c r="K154" s="33"/>
      <c r="L154" s="5"/>
      <c r="M154" s="5"/>
      <c r="N154" s="5"/>
      <c r="O154" s="5"/>
      <c r="P154" s="5"/>
      <c r="Q154" s="5"/>
      <c r="R154" s="5"/>
      <c r="S154" s="5"/>
    </row>
    <row r="155" spans="1:19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5"/>
      <c r="M155" s="5"/>
      <c r="N155" s="5"/>
      <c r="O155" s="5"/>
      <c r="P155" s="5"/>
      <c r="Q155" s="5"/>
      <c r="R155" s="5"/>
      <c r="S155" s="5"/>
    </row>
    <row r="156" spans="1:19">
      <c r="A156" s="14" t="s">
        <v>112</v>
      </c>
      <c r="B156" s="12" t="s">
        <v>261</v>
      </c>
      <c r="C156" s="12"/>
      <c r="D156" s="12" t="s">
        <v>261</v>
      </c>
      <c r="E156" s="12" t="s">
        <v>970</v>
      </c>
      <c r="F156" s="12" t="s">
        <v>261</v>
      </c>
      <c r="G156" s="12"/>
      <c r="H156" s="12"/>
      <c r="I156" s="12"/>
      <c r="J156" s="13">
        <v>3927</v>
      </c>
      <c r="K156" s="12" t="s">
        <v>262</v>
      </c>
      <c r="L156" s="5">
        <f>SUM(B156:J157)</f>
        <v>17464</v>
      </c>
      <c r="M156" s="5"/>
      <c r="N156" s="5"/>
      <c r="O156" s="5"/>
      <c r="P156" s="5"/>
      <c r="Q156" s="5"/>
      <c r="R156" s="5"/>
      <c r="S156" s="5"/>
    </row>
    <row r="157" spans="1:19">
      <c r="A157" s="13"/>
      <c r="B157" s="13">
        <v>10980</v>
      </c>
      <c r="C157" s="13"/>
      <c r="D157" s="13">
        <v>369</v>
      </c>
      <c r="E157" s="14">
        <v>1429</v>
      </c>
      <c r="F157" s="14">
        <v>759</v>
      </c>
      <c r="G157" s="14"/>
      <c r="H157" s="14"/>
      <c r="I157" s="14"/>
      <c r="J157" s="13"/>
      <c r="K157" s="14"/>
      <c r="L157" s="5"/>
      <c r="M157" s="5"/>
      <c r="N157" s="5"/>
      <c r="O157" s="5"/>
      <c r="P157" s="5"/>
      <c r="Q157" s="5"/>
      <c r="R157" s="5"/>
      <c r="S157" s="5"/>
    </row>
    <row r="158" spans="1:19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5"/>
      <c r="M158" s="5"/>
      <c r="N158" s="5"/>
      <c r="O158" s="5"/>
      <c r="P158" s="5"/>
      <c r="Q158" s="5"/>
      <c r="R158" s="5"/>
      <c r="S158" s="5"/>
    </row>
    <row r="159" spans="1:19">
      <c r="A159" s="33" t="s">
        <v>116</v>
      </c>
      <c r="B159" s="32" t="s">
        <v>117</v>
      </c>
      <c r="C159" s="32" t="s">
        <v>971</v>
      </c>
      <c r="D159" s="31"/>
      <c r="E159" s="32" t="s">
        <v>971</v>
      </c>
      <c r="F159" s="32"/>
      <c r="G159" s="32"/>
      <c r="H159" s="32"/>
      <c r="I159" s="32"/>
      <c r="J159" s="30">
        <v>4960</v>
      </c>
      <c r="K159" s="32" t="s">
        <v>118</v>
      </c>
      <c r="L159" s="5">
        <f>SUM(B159:J160)</f>
        <v>33446</v>
      </c>
      <c r="M159" s="5"/>
      <c r="N159" s="5"/>
      <c r="O159" s="5"/>
      <c r="P159" s="5"/>
      <c r="Q159" s="5"/>
      <c r="R159" s="5"/>
      <c r="S159" s="5"/>
    </row>
    <row r="160" spans="1:19">
      <c r="A160" s="30"/>
      <c r="B160" s="30">
        <v>25561</v>
      </c>
      <c r="C160" s="30">
        <v>2522</v>
      </c>
      <c r="D160" s="31"/>
      <c r="E160" s="30">
        <v>403</v>
      </c>
      <c r="F160" s="30"/>
      <c r="G160" s="30"/>
      <c r="H160" s="30"/>
      <c r="I160" s="30"/>
      <c r="J160" s="30"/>
      <c r="K160" s="33"/>
      <c r="L160" s="5"/>
      <c r="M160" s="5"/>
      <c r="N160" s="5"/>
      <c r="O160" s="5"/>
      <c r="P160" s="5"/>
      <c r="Q160" s="5"/>
      <c r="R160" s="5"/>
      <c r="S160" s="5"/>
    </row>
    <row r="161" spans="1:19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5"/>
      <c r="M161" s="5"/>
      <c r="N161" s="5"/>
      <c r="O161" s="5"/>
      <c r="P161" s="5"/>
      <c r="Q161" s="5"/>
      <c r="R161" s="5"/>
      <c r="S161" s="5"/>
    </row>
    <row r="162" spans="1:19">
      <c r="A162" s="14" t="s">
        <v>120</v>
      </c>
      <c r="B162" s="12" t="s">
        <v>121</v>
      </c>
      <c r="C162" s="12" t="s">
        <v>307</v>
      </c>
      <c r="D162" s="12"/>
      <c r="E162" s="12" t="s">
        <v>307</v>
      </c>
      <c r="F162" s="12"/>
      <c r="G162" s="12"/>
      <c r="H162" s="12"/>
      <c r="I162" s="15"/>
      <c r="J162" s="13">
        <v>4133</v>
      </c>
      <c r="K162" s="12" t="s">
        <v>122</v>
      </c>
      <c r="L162" s="5">
        <f>SUM(B162:J163)</f>
        <v>25686</v>
      </c>
      <c r="M162" s="5"/>
      <c r="N162" s="5"/>
      <c r="O162" s="5"/>
      <c r="P162" s="5"/>
      <c r="Q162" s="5"/>
      <c r="R162" s="5"/>
      <c r="S162" s="5"/>
    </row>
    <row r="163" spans="1:19">
      <c r="A163" s="13"/>
      <c r="B163" s="13">
        <v>18918</v>
      </c>
      <c r="C163" s="13">
        <v>2143</v>
      </c>
      <c r="D163" s="13"/>
      <c r="E163" s="13">
        <v>492</v>
      </c>
      <c r="F163" s="13"/>
      <c r="G163" s="13"/>
      <c r="H163" s="13"/>
      <c r="I163" s="13"/>
      <c r="J163" s="13"/>
      <c r="K163" s="14"/>
      <c r="L163" s="5"/>
      <c r="M163" s="5"/>
      <c r="N163" s="5"/>
      <c r="O163" s="5"/>
      <c r="P163" s="5"/>
      <c r="Q163" s="5"/>
      <c r="R163" s="5"/>
      <c r="S163" s="5"/>
    </row>
    <row r="164" spans="1:19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5"/>
      <c r="M164" s="5"/>
      <c r="N164" s="5"/>
      <c r="O164" s="5"/>
      <c r="P164" s="5"/>
      <c r="Q164" s="5"/>
      <c r="R164" s="5"/>
      <c r="S164" s="5"/>
    </row>
    <row r="165" spans="1:19">
      <c r="A165" s="33" t="s">
        <v>134</v>
      </c>
      <c r="B165" s="32" t="s">
        <v>972</v>
      </c>
      <c r="C165" s="32" t="s">
        <v>973</v>
      </c>
      <c r="D165" s="32"/>
      <c r="E165" s="32" t="s">
        <v>973</v>
      </c>
      <c r="F165" s="32" t="s">
        <v>972</v>
      </c>
      <c r="G165" s="32"/>
      <c r="H165" s="32"/>
      <c r="I165" s="32"/>
      <c r="J165" s="30">
        <v>5605</v>
      </c>
      <c r="K165" s="32" t="s">
        <v>974</v>
      </c>
      <c r="L165" s="5">
        <f>SUM(B165:J166)</f>
        <v>58617</v>
      </c>
      <c r="M165" s="5"/>
      <c r="N165" s="5"/>
      <c r="O165" s="5"/>
      <c r="P165" s="5"/>
      <c r="Q165" s="5"/>
      <c r="R165" s="5"/>
      <c r="S165" s="5"/>
    </row>
    <row r="166" spans="1:19">
      <c r="A166" s="30"/>
      <c r="B166" s="30">
        <v>43500</v>
      </c>
      <c r="C166" s="30">
        <v>3270</v>
      </c>
      <c r="D166" s="30"/>
      <c r="E166" s="30">
        <v>477</v>
      </c>
      <c r="F166" s="30">
        <v>5765</v>
      </c>
      <c r="G166" s="30"/>
      <c r="H166" s="30"/>
      <c r="I166" s="30"/>
      <c r="J166" s="30"/>
      <c r="K166" s="33"/>
      <c r="L166" s="5"/>
      <c r="M166" s="5"/>
      <c r="N166" s="5"/>
      <c r="O166" s="5"/>
      <c r="P166" s="5"/>
      <c r="Q166" s="5"/>
      <c r="R166" s="5"/>
      <c r="S166" s="5"/>
    </row>
    <row r="167" spans="1:19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</row>
    <row r="168" spans="1:19">
      <c r="A168" s="14" t="s">
        <v>139</v>
      </c>
      <c r="B168" s="12" t="s">
        <v>975</v>
      </c>
      <c r="C168" s="12" t="s">
        <v>976</v>
      </c>
      <c r="D168" s="12"/>
      <c r="E168" s="12"/>
      <c r="F168" s="12"/>
      <c r="G168" s="12"/>
      <c r="H168" s="12"/>
      <c r="I168" s="12"/>
      <c r="J168" s="13">
        <v>5635</v>
      </c>
      <c r="K168" s="12" t="s">
        <v>977</v>
      </c>
      <c r="L168" s="5">
        <f>SUM(B168:J169)</f>
        <v>34507</v>
      </c>
      <c r="M168" s="5"/>
      <c r="N168" s="5"/>
      <c r="O168" s="5"/>
      <c r="P168" s="5"/>
      <c r="Q168" s="5"/>
      <c r="R168" s="5"/>
      <c r="S168" s="5"/>
    </row>
    <row r="169" spans="1:19">
      <c r="A169" s="13" t="s">
        <v>978</v>
      </c>
      <c r="B169" s="13">
        <v>25956</v>
      </c>
      <c r="C169" s="13">
        <v>2916</v>
      </c>
      <c r="D169" s="13"/>
      <c r="E169" s="13"/>
      <c r="F169" s="13"/>
      <c r="G169" s="13"/>
      <c r="H169" s="13"/>
      <c r="I169" s="14"/>
      <c r="J169" s="13"/>
      <c r="K169" s="14"/>
      <c r="L169" s="5"/>
      <c r="M169" s="5"/>
      <c r="N169" s="5"/>
      <c r="O169" s="5"/>
      <c r="P169" s="5"/>
      <c r="Q169" s="5"/>
      <c r="R169" s="5"/>
      <c r="S169" s="5"/>
    </row>
    <row r="170" spans="1:19">
      <c r="A170" s="13"/>
      <c r="B170" s="13"/>
      <c r="C170" s="13"/>
      <c r="D170" s="13"/>
      <c r="E170" s="13"/>
      <c r="F170" s="13"/>
      <c r="G170" s="13"/>
      <c r="H170" s="13"/>
      <c r="I170" s="14"/>
      <c r="J170" s="13"/>
      <c r="K170" s="14"/>
      <c r="L170" s="5"/>
      <c r="M170" s="5"/>
      <c r="N170" s="5"/>
      <c r="O170" s="5"/>
      <c r="P170" s="5"/>
      <c r="Q170" s="5"/>
      <c r="R170" s="5"/>
      <c r="S170" s="5"/>
    </row>
    <row r="171" spans="1:19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5"/>
      <c r="M171" s="5"/>
      <c r="N171" s="5"/>
      <c r="O171" s="5"/>
      <c r="P171" s="5"/>
      <c r="Q171" s="5"/>
      <c r="R171" s="5"/>
      <c r="S171" s="5"/>
    </row>
    <row r="172" spans="1:19" ht="17.25">
      <c r="A172" s="14" t="s">
        <v>1074</v>
      </c>
      <c r="B172" s="15" t="s">
        <v>394</v>
      </c>
      <c r="C172" s="15"/>
      <c r="D172" s="15"/>
      <c r="E172" s="15"/>
      <c r="F172" s="15" t="s">
        <v>979</v>
      </c>
      <c r="G172" s="15"/>
      <c r="H172" s="15"/>
      <c r="I172" s="15"/>
      <c r="J172" s="15">
        <v>2220</v>
      </c>
      <c r="K172" s="15" t="s">
        <v>395</v>
      </c>
      <c r="L172" s="5">
        <f>SUM(B172:J173)</f>
        <v>12706</v>
      </c>
      <c r="M172" s="5"/>
      <c r="N172" s="5"/>
      <c r="O172" s="5"/>
      <c r="P172" s="5"/>
      <c r="Q172" s="5"/>
      <c r="R172" s="5"/>
      <c r="S172" s="5"/>
    </row>
    <row r="173" spans="1:19">
      <c r="A173" s="13"/>
      <c r="B173" s="13">
        <v>9000</v>
      </c>
      <c r="C173" s="13"/>
      <c r="D173" s="13"/>
      <c r="E173" s="13"/>
      <c r="F173" s="13">
        <v>1486</v>
      </c>
      <c r="G173" s="13"/>
      <c r="H173" s="13"/>
      <c r="I173" s="13"/>
      <c r="J173" s="13"/>
      <c r="K173" s="13"/>
      <c r="L173" s="5"/>
      <c r="M173" s="5"/>
      <c r="N173" s="5"/>
      <c r="O173" s="5"/>
      <c r="P173" s="5"/>
      <c r="Q173" s="5"/>
      <c r="R173" s="5"/>
      <c r="S173" s="5"/>
    </row>
    <row r="174" spans="1:19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5"/>
      <c r="M174" s="5"/>
      <c r="N174" s="5"/>
      <c r="O174" s="5"/>
      <c r="P174" s="5"/>
      <c r="Q174" s="5"/>
      <c r="R174" s="5"/>
      <c r="S174" s="5"/>
    </row>
    <row r="175" spans="1:19">
      <c r="A175" s="33" t="s">
        <v>142</v>
      </c>
      <c r="B175" s="32" t="s">
        <v>980</v>
      </c>
      <c r="C175" s="32" t="s">
        <v>224</v>
      </c>
      <c r="D175" s="31"/>
      <c r="E175" s="32" t="s">
        <v>640</v>
      </c>
      <c r="F175" s="32"/>
      <c r="G175" s="32"/>
      <c r="H175" s="32"/>
      <c r="I175" s="32"/>
      <c r="J175" s="30">
        <v>4235</v>
      </c>
      <c r="K175" s="32" t="s">
        <v>981</v>
      </c>
      <c r="L175" s="5">
        <f>SUM(B175:J176)</f>
        <v>29335</v>
      </c>
      <c r="M175" s="5"/>
      <c r="N175" s="5"/>
      <c r="O175" s="5"/>
      <c r="P175" s="5"/>
      <c r="Q175" s="5"/>
      <c r="R175" s="5"/>
      <c r="S175" s="5"/>
    </row>
    <row r="176" spans="1:19">
      <c r="A176" s="30"/>
      <c r="B176" s="30">
        <v>23959</v>
      </c>
      <c r="C176" s="30">
        <v>858</v>
      </c>
      <c r="D176" s="31"/>
      <c r="E176" s="30">
        <v>283</v>
      </c>
      <c r="F176" s="30"/>
      <c r="G176" s="30"/>
      <c r="H176" s="30"/>
      <c r="I176" s="33"/>
      <c r="J176" s="30"/>
      <c r="K176" s="33"/>
      <c r="L176" s="5"/>
      <c r="M176" s="5"/>
      <c r="N176" s="5"/>
      <c r="O176" s="5"/>
      <c r="P176" s="5"/>
      <c r="Q176" s="5"/>
      <c r="R176" s="5"/>
      <c r="S176" s="5"/>
    </row>
    <row r="177" spans="1:19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5"/>
      <c r="M177" s="5"/>
      <c r="N177" s="5"/>
      <c r="O177" s="5"/>
      <c r="P177" s="5"/>
      <c r="Q177" s="5"/>
      <c r="R177" s="5"/>
      <c r="S177" s="5"/>
    </row>
    <row r="178" spans="1:19">
      <c r="A178" s="14" t="s">
        <v>145</v>
      </c>
      <c r="B178" s="12" t="s">
        <v>982</v>
      </c>
      <c r="C178" s="12" t="s">
        <v>983</v>
      </c>
      <c r="D178" s="12" t="s">
        <v>984</v>
      </c>
      <c r="E178" s="12"/>
      <c r="F178" s="12"/>
      <c r="G178" s="12"/>
      <c r="H178" s="12"/>
      <c r="I178" s="12"/>
      <c r="J178" s="13">
        <v>5993</v>
      </c>
      <c r="K178" s="12" t="s">
        <v>985</v>
      </c>
      <c r="L178" s="5">
        <f>SUM(B178:J179)</f>
        <v>38475</v>
      </c>
      <c r="M178" s="5"/>
      <c r="N178" s="5"/>
      <c r="O178" s="5"/>
      <c r="P178" s="5"/>
      <c r="Q178" s="5"/>
      <c r="R178" s="5"/>
      <c r="S178" s="5"/>
    </row>
    <row r="179" spans="1:19">
      <c r="A179" s="13"/>
      <c r="B179" s="13">
        <v>30847</v>
      </c>
      <c r="C179" s="13">
        <v>656</v>
      </c>
      <c r="D179" s="13">
        <v>979</v>
      </c>
      <c r="E179" s="13"/>
      <c r="F179" s="13"/>
      <c r="G179" s="13"/>
      <c r="H179" s="13"/>
      <c r="I179" s="14"/>
      <c r="J179" s="13"/>
      <c r="K179" s="14"/>
      <c r="L179" s="5"/>
      <c r="M179" s="5"/>
      <c r="N179" s="5"/>
      <c r="O179" s="5"/>
      <c r="P179" s="5"/>
      <c r="Q179" s="5"/>
      <c r="R179" s="5"/>
      <c r="S179" s="5"/>
    </row>
    <row r="180" spans="1:19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5"/>
      <c r="M180" s="5"/>
      <c r="N180" s="5"/>
      <c r="O180" s="5"/>
      <c r="P180" s="5"/>
      <c r="Q180" s="5"/>
      <c r="R180" s="5"/>
      <c r="S180" s="5"/>
    </row>
    <row r="181" spans="1:19">
      <c r="A181" s="33" t="s">
        <v>150</v>
      </c>
      <c r="B181" s="32" t="s">
        <v>825</v>
      </c>
      <c r="C181" s="32" t="s">
        <v>986</v>
      </c>
      <c r="D181" s="32"/>
      <c r="E181" s="32"/>
      <c r="F181" s="32"/>
      <c r="G181" s="32"/>
      <c r="H181" s="32"/>
      <c r="I181" s="32"/>
      <c r="J181" s="30">
        <v>5187</v>
      </c>
      <c r="K181" s="32" t="s">
        <v>827</v>
      </c>
      <c r="L181" s="5">
        <f>SUM(B181:J182)</f>
        <v>42588</v>
      </c>
      <c r="M181" s="5"/>
      <c r="N181" s="5"/>
      <c r="O181" s="5"/>
      <c r="P181" s="5"/>
      <c r="Q181" s="5"/>
      <c r="R181" s="5"/>
      <c r="S181" s="5"/>
    </row>
    <row r="182" spans="1:19">
      <c r="A182" s="30"/>
      <c r="B182" s="30">
        <v>36891</v>
      </c>
      <c r="C182" s="30">
        <v>510</v>
      </c>
      <c r="D182" s="30"/>
      <c r="E182" s="30"/>
      <c r="F182" s="30"/>
      <c r="G182" s="30"/>
      <c r="H182" s="30"/>
      <c r="I182" s="30"/>
      <c r="J182" s="30"/>
      <c r="K182" s="33"/>
      <c r="L182" s="5"/>
      <c r="M182" s="5"/>
      <c r="N182" s="5"/>
      <c r="O182" s="5"/>
      <c r="P182" s="5"/>
      <c r="Q182" s="5"/>
      <c r="R182" s="5"/>
      <c r="S182" s="5"/>
    </row>
    <row r="183" spans="1:19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5"/>
      <c r="M183" s="5"/>
      <c r="N183" s="5"/>
      <c r="O183" s="5"/>
      <c r="P183" s="5"/>
      <c r="Q183" s="5"/>
      <c r="R183" s="5"/>
      <c r="S183" s="5"/>
    </row>
    <row r="184" spans="1:19">
      <c r="A184" s="14" t="s">
        <v>154</v>
      </c>
      <c r="B184" s="12" t="s">
        <v>344</v>
      </c>
      <c r="C184" s="12" t="s">
        <v>987</v>
      </c>
      <c r="D184" s="12"/>
      <c r="E184" s="12"/>
      <c r="F184" s="12"/>
      <c r="G184" s="12"/>
      <c r="H184" s="12"/>
      <c r="I184" s="12"/>
      <c r="J184" s="13">
        <v>6855</v>
      </c>
      <c r="K184" s="12" t="s">
        <v>345</v>
      </c>
      <c r="L184" s="5">
        <f>SUM(B184:J185)</f>
        <v>54699</v>
      </c>
      <c r="M184" s="5"/>
      <c r="N184" s="5"/>
      <c r="O184" s="5"/>
      <c r="P184" s="5"/>
      <c r="Q184" s="5"/>
      <c r="R184" s="5"/>
      <c r="S184" s="5"/>
    </row>
    <row r="185" spans="1:19">
      <c r="A185" s="13"/>
      <c r="B185" s="13">
        <v>46733</v>
      </c>
      <c r="C185" s="13">
        <v>1111</v>
      </c>
      <c r="D185" s="13"/>
      <c r="E185" s="13"/>
      <c r="F185" s="13"/>
      <c r="G185" s="13"/>
      <c r="H185" s="13"/>
      <c r="I185" s="13"/>
      <c r="J185" s="13"/>
      <c r="K185" s="13"/>
      <c r="L185" s="5"/>
      <c r="M185" s="5"/>
      <c r="N185" s="5"/>
      <c r="O185" s="5"/>
      <c r="P185" s="5"/>
      <c r="Q185" s="5"/>
      <c r="R185" s="5"/>
      <c r="S185" s="5"/>
    </row>
    <row r="186" spans="1:19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5"/>
      <c r="M186" s="5"/>
      <c r="N186" s="5"/>
      <c r="O186" s="5"/>
      <c r="P186" s="5"/>
      <c r="Q186" s="5"/>
      <c r="R186" s="5"/>
      <c r="S186" s="5"/>
    </row>
    <row r="187" spans="1:19">
      <c r="A187" s="33" t="s">
        <v>158</v>
      </c>
      <c r="B187" s="32" t="s">
        <v>159</v>
      </c>
      <c r="C187" s="32"/>
      <c r="D187" s="32"/>
      <c r="E187" s="32"/>
      <c r="F187" s="32" t="s">
        <v>504</v>
      </c>
      <c r="G187" s="32"/>
      <c r="H187" s="32"/>
      <c r="I187" s="32"/>
      <c r="J187" s="30">
        <v>4354</v>
      </c>
      <c r="K187" s="32" t="s">
        <v>160</v>
      </c>
      <c r="L187" s="5">
        <f>SUM(B187:J188)</f>
        <v>42849</v>
      </c>
      <c r="M187" s="5"/>
      <c r="N187" s="5"/>
      <c r="O187" s="5"/>
      <c r="P187" s="5"/>
      <c r="Q187" s="5"/>
      <c r="R187" s="5"/>
      <c r="S187" s="5"/>
    </row>
    <row r="188" spans="1:19">
      <c r="A188" s="30"/>
      <c r="B188" s="30">
        <v>38076</v>
      </c>
      <c r="C188" s="30"/>
      <c r="D188" s="30"/>
      <c r="E188" s="30"/>
      <c r="F188" s="30">
        <v>419</v>
      </c>
      <c r="G188" s="30"/>
      <c r="H188" s="30"/>
      <c r="I188" s="30"/>
      <c r="J188" s="30"/>
      <c r="K188" s="33"/>
      <c r="L188" s="5"/>
      <c r="M188" s="5"/>
      <c r="N188" s="5"/>
      <c r="O188" s="5"/>
      <c r="P188" s="5"/>
      <c r="Q188" s="5"/>
      <c r="R188" s="5"/>
      <c r="S188" s="5"/>
    </row>
    <row r="189" spans="1:19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5"/>
      <c r="M189" s="5"/>
      <c r="N189" s="5"/>
      <c r="O189" s="5"/>
      <c r="P189" s="5"/>
      <c r="Q189" s="5"/>
      <c r="R189" s="5"/>
      <c r="S189" s="5"/>
    </row>
    <row r="190" spans="1:19">
      <c r="A190" s="14" t="s">
        <v>166</v>
      </c>
      <c r="B190" s="12" t="s">
        <v>988</v>
      </c>
      <c r="C190" s="12"/>
      <c r="D190" s="12"/>
      <c r="E190" s="12" t="s">
        <v>989</v>
      </c>
      <c r="F190" s="12"/>
      <c r="G190" s="12"/>
      <c r="H190" s="12"/>
      <c r="I190" s="5"/>
      <c r="J190" s="13">
        <v>6973</v>
      </c>
      <c r="K190" s="12" t="s">
        <v>990</v>
      </c>
      <c r="L190" s="5">
        <f>SUM(B190:J191)</f>
        <v>41167</v>
      </c>
      <c r="M190" s="5"/>
      <c r="N190" s="5"/>
      <c r="O190" s="5"/>
      <c r="P190" s="5"/>
      <c r="Q190" s="5"/>
      <c r="R190" s="5"/>
      <c r="S190" s="5"/>
    </row>
    <row r="191" spans="1:19">
      <c r="A191" s="13"/>
      <c r="B191" s="13">
        <v>31273</v>
      </c>
      <c r="C191" s="13"/>
      <c r="D191" s="13"/>
      <c r="E191" s="13">
        <v>2921</v>
      </c>
      <c r="F191" s="13"/>
      <c r="G191" s="13"/>
      <c r="H191" s="13"/>
      <c r="I191" s="5"/>
      <c r="J191" s="13"/>
      <c r="K191" s="14"/>
      <c r="L191" s="5"/>
      <c r="M191" s="5"/>
      <c r="N191" s="5"/>
      <c r="O191" s="5"/>
      <c r="P191" s="5"/>
      <c r="Q191" s="5"/>
      <c r="R191" s="5"/>
      <c r="S191" s="5"/>
    </row>
    <row r="192" spans="1:19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5"/>
      <c r="M192" s="5"/>
      <c r="N192" s="5"/>
      <c r="O192" s="5"/>
      <c r="P192" s="5"/>
      <c r="Q192" s="5"/>
      <c r="R192" s="5"/>
      <c r="S192" s="5"/>
    </row>
    <row r="193" spans="1:19">
      <c r="A193" s="33" t="s">
        <v>170</v>
      </c>
      <c r="B193" s="32" t="s">
        <v>275</v>
      </c>
      <c r="C193" s="32" t="s">
        <v>991</v>
      </c>
      <c r="D193" s="32"/>
      <c r="E193" s="32" t="s">
        <v>991</v>
      </c>
      <c r="F193" s="32" t="s">
        <v>275</v>
      </c>
      <c r="G193" s="32"/>
      <c r="H193" s="32"/>
      <c r="I193" s="32"/>
      <c r="J193" s="30">
        <v>5972</v>
      </c>
      <c r="K193" s="29" t="s">
        <v>992</v>
      </c>
      <c r="L193" s="17">
        <f>SUM(B193:J194)</f>
        <v>41666</v>
      </c>
      <c r="M193" s="5"/>
      <c r="N193" s="5"/>
      <c r="O193" s="5"/>
      <c r="P193" s="5"/>
      <c r="Q193" s="5"/>
      <c r="R193" s="5"/>
      <c r="S193" s="5"/>
    </row>
    <row r="194" spans="1:19">
      <c r="A194" s="30"/>
      <c r="B194" s="30">
        <v>33950</v>
      </c>
      <c r="C194" s="30">
        <v>994</v>
      </c>
      <c r="D194" s="30"/>
      <c r="E194" s="30">
        <v>186</v>
      </c>
      <c r="F194" s="30">
        <v>564</v>
      </c>
      <c r="G194" s="30"/>
      <c r="H194" s="30"/>
      <c r="I194" s="30"/>
      <c r="J194" s="30"/>
      <c r="K194" s="30"/>
      <c r="L194" s="5"/>
      <c r="M194" s="5"/>
      <c r="N194" s="5"/>
      <c r="O194" s="5"/>
      <c r="P194" s="5"/>
      <c r="Q194" s="5"/>
      <c r="R194" s="5"/>
      <c r="S194" s="5"/>
    </row>
    <row r="195" spans="1:19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>
      <c r="A196" s="5" t="s">
        <v>5</v>
      </c>
      <c r="B196" s="15" t="s">
        <v>272</v>
      </c>
      <c r="C196" s="15" t="s">
        <v>993</v>
      </c>
      <c r="D196" s="15" t="s">
        <v>272</v>
      </c>
      <c r="E196" s="15"/>
      <c r="F196" s="15" t="s">
        <v>272</v>
      </c>
      <c r="G196" s="15"/>
      <c r="H196" s="15"/>
      <c r="I196" s="15"/>
      <c r="J196" s="15">
        <v>3412</v>
      </c>
      <c r="K196" s="10" t="s">
        <v>276</v>
      </c>
      <c r="L196" s="5">
        <f>SUM(B196:J197)</f>
        <v>39232</v>
      </c>
      <c r="M196" s="5"/>
      <c r="N196" s="5"/>
      <c r="O196" s="5"/>
      <c r="P196" s="5"/>
      <c r="Q196" s="5"/>
      <c r="R196" s="5"/>
      <c r="S196" s="5"/>
    </row>
    <row r="197" spans="1:19">
      <c r="A197" s="5"/>
      <c r="B197" s="13">
        <v>26541</v>
      </c>
      <c r="C197" s="13">
        <v>7204</v>
      </c>
      <c r="D197" s="13">
        <v>735</v>
      </c>
      <c r="E197" s="13"/>
      <c r="F197" s="13">
        <v>1340</v>
      </c>
      <c r="G197" s="13"/>
      <c r="H197" s="13"/>
      <c r="I197" s="13"/>
      <c r="J197" s="13"/>
      <c r="K197" s="5"/>
      <c r="L197" s="5"/>
      <c r="M197" s="5"/>
      <c r="N197" s="5"/>
      <c r="O197" s="5"/>
      <c r="P197" s="5"/>
      <c r="Q197" s="5"/>
      <c r="R197" s="5"/>
      <c r="S197" s="5"/>
    </row>
    <row r="198" spans="1:19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</row>
    <row r="199" spans="1:19">
      <c r="A199" s="33" t="s">
        <v>8</v>
      </c>
      <c r="B199" s="29" t="s">
        <v>994</v>
      </c>
      <c r="C199" s="29" t="s">
        <v>831</v>
      </c>
      <c r="D199" s="29" t="s">
        <v>831</v>
      </c>
      <c r="E199" s="29" t="s">
        <v>831</v>
      </c>
      <c r="F199" s="29"/>
      <c r="G199" s="29"/>
      <c r="H199" s="29"/>
      <c r="I199" s="29"/>
      <c r="J199" s="29">
        <v>3004</v>
      </c>
      <c r="K199" s="29" t="s">
        <v>995</v>
      </c>
      <c r="L199" s="5">
        <f>SUM(B199:J200)</f>
        <v>44973</v>
      </c>
      <c r="M199" s="5"/>
      <c r="N199" s="5"/>
      <c r="O199" s="5"/>
      <c r="P199" s="5"/>
      <c r="Q199" s="5"/>
      <c r="R199" s="5"/>
      <c r="S199" s="5"/>
    </row>
    <row r="200" spans="1:19">
      <c r="A200" s="30"/>
      <c r="B200" s="30">
        <v>12943</v>
      </c>
      <c r="C200" s="30">
        <v>25279</v>
      </c>
      <c r="D200" s="30">
        <v>874</v>
      </c>
      <c r="E200" s="30">
        <v>2873</v>
      </c>
      <c r="F200" s="30"/>
      <c r="G200" s="30"/>
      <c r="H200" s="30"/>
      <c r="I200" s="30"/>
      <c r="J200" s="30"/>
      <c r="K200" s="30"/>
      <c r="L200" s="5"/>
      <c r="M200" s="5"/>
      <c r="N200" s="5"/>
      <c r="O200" s="5"/>
      <c r="P200" s="5"/>
      <c r="Q200" s="5"/>
      <c r="R200" s="5"/>
      <c r="S200" s="5"/>
    </row>
    <row r="201" spans="1:19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5"/>
      <c r="M201" s="5"/>
      <c r="N201" s="5"/>
      <c r="O201" s="5"/>
      <c r="P201" s="5"/>
      <c r="Q201" s="5"/>
      <c r="R201" s="5"/>
      <c r="S201" s="5"/>
    </row>
    <row r="202" spans="1:19">
      <c r="A202" s="14" t="s">
        <v>14</v>
      </c>
      <c r="B202" s="12" t="s">
        <v>225</v>
      </c>
      <c r="C202" s="12" t="s">
        <v>996</v>
      </c>
      <c r="D202" s="12" t="s">
        <v>225</v>
      </c>
      <c r="E202" s="12" t="s">
        <v>225</v>
      </c>
      <c r="F202" s="12"/>
      <c r="G202" s="12"/>
      <c r="H202" s="12"/>
      <c r="I202" s="12"/>
      <c r="J202" s="13">
        <v>3076</v>
      </c>
      <c r="K202" s="12" t="s">
        <v>226</v>
      </c>
      <c r="L202" s="5">
        <f>SUM(B202:J203)</f>
        <v>41347</v>
      </c>
      <c r="M202" s="5"/>
      <c r="N202" s="5"/>
      <c r="O202" s="5"/>
      <c r="P202" s="5"/>
      <c r="Q202" s="5"/>
      <c r="R202" s="5"/>
      <c r="S202" s="5"/>
    </row>
    <row r="203" spans="1:19">
      <c r="A203" s="13"/>
      <c r="B203" s="13">
        <v>21983</v>
      </c>
      <c r="C203" s="13">
        <v>12977</v>
      </c>
      <c r="D203" s="13">
        <v>929</v>
      </c>
      <c r="E203" s="13">
        <v>2382</v>
      </c>
      <c r="F203" s="13"/>
      <c r="G203" s="13"/>
      <c r="H203" s="13"/>
      <c r="I203" s="13"/>
      <c r="J203" s="13"/>
      <c r="K203" s="14"/>
      <c r="L203" s="5"/>
      <c r="M203" s="5"/>
      <c r="N203" s="5"/>
      <c r="O203" s="5"/>
      <c r="P203" s="5"/>
      <c r="Q203" s="5"/>
      <c r="R203" s="5"/>
      <c r="S203" s="5"/>
    </row>
    <row r="204" spans="1:19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5"/>
      <c r="M204" s="5"/>
      <c r="N204" s="5"/>
      <c r="O204" s="5"/>
      <c r="P204" s="5"/>
      <c r="Q204" s="5"/>
      <c r="R204" s="5"/>
      <c r="S204" s="5"/>
    </row>
    <row r="205" spans="1:19">
      <c r="A205" s="33" t="s">
        <v>23</v>
      </c>
      <c r="B205" s="32" t="s">
        <v>997</v>
      </c>
      <c r="C205" s="32" t="s">
        <v>308</v>
      </c>
      <c r="D205" s="32" t="s">
        <v>308</v>
      </c>
      <c r="E205" s="32" t="s">
        <v>308</v>
      </c>
      <c r="F205" s="32" t="s">
        <v>997</v>
      </c>
      <c r="G205" s="32"/>
      <c r="H205" s="32"/>
      <c r="I205" s="32"/>
      <c r="J205" s="30">
        <v>3588</v>
      </c>
      <c r="K205" s="32" t="s">
        <v>309</v>
      </c>
      <c r="L205" s="5">
        <f>SUM(B205:J206)</f>
        <v>38000</v>
      </c>
      <c r="M205" s="5"/>
      <c r="N205" s="5"/>
      <c r="O205" s="5"/>
      <c r="P205" s="5"/>
      <c r="Q205" s="5"/>
      <c r="R205" s="5"/>
      <c r="S205" s="5"/>
    </row>
    <row r="206" spans="1:19">
      <c r="A206" s="30"/>
      <c r="B206" s="30">
        <v>12326</v>
      </c>
      <c r="C206" s="30">
        <v>17731</v>
      </c>
      <c r="D206" s="30">
        <v>1049</v>
      </c>
      <c r="E206" s="30">
        <v>2393</v>
      </c>
      <c r="F206" s="30">
        <v>913</v>
      </c>
      <c r="G206" s="30"/>
      <c r="H206" s="30"/>
      <c r="I206" s="33"/>
      <c r="J206" s="30"/>
      <c r="K206" s="33"/>
      <c r="L206" s="5"/>
      <c r="M206" s="5"/>
      <c r="N206" s="5"/>
      <c r="O206" s="5"/>
      <c r="P206" s="5"/>
      <c r="Q206" s="5"/>
      <c r="R206" s="5"/>
      <c r="S206" s="5"/>
    </row>
    <row r="207" spans="1:19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5"/>
      <c r="M207" s="5"/>
      <c r="N207" s="5"/>
      <c r="O207" s="5"/>
      <c r="P207" s="5"/>
      <c r="Q207" s="5"/>
      <c r="R207" s="5"/>
      <c r="S207" s="5"/>
    </row>
    <row r="208" spans="1:19">
      <c r="A208" s="14" t="s">
        <v>29</v>
      </c>
      <c r="B208" s="15" t="s">
        <v>834</v>
      </c>
      <c r="C208" s="15" t="s">
        <v>998</v>
      </c>
      <c r="D208" s="15"/>
      <c r="E208" s="15"/>
      <c r="F208" s="15" t="s">
        <v>834</v>
      </c>
      <c r="G208" s="15"/>
      <c r="H208" s="15"/>
      <c r="I208" s="15"/>
      <c r="J208" s="15">
        <v>6900</v>
      </c>
      <c r="K208" s="15" t="s">
        <v>836</v>
      </c>
      <c r="L208" s="5">
        <f>SUM(B208:J209)</f>
        <v>36934</v>
      </c>
      <c r="M208" s="5"/>
      <c r="N208" s="5"/>
      <c r="O208" s="5"/>
      <c r="P208" s="5"/>
      <c r="Q208" s="5"/>
      <c r="R208" s="5"/>
      <c r="S208" s="5"/>
    </row>
    <row r="209" spans="1:19">
      <c r="A209" s="13"/>
      <c r="B209" s="13">
        <v>23871</v>
      </c>
      <c r="C209" s="13">
        <v>4906</v>
      </c>
      <c r="D209" s="13"/>
      <c r="E209" s="13"/>
      <c r="F209" s="13">
        <v>1257</v>
      </c>
      <c r="G209" s="13"/>
      <c r="H209" s="13"/>
      <c r="I209" s="13"/>
      <c r="J209" s="13"/>
      <c r="K209" s="13"/>
      <c r="L209" s="5"/>
      <c r="M209" s="5"/>
      <c r="N209" s="5"/>
      <c r="O209" s="5"/>
      <c r="P209" s="5"/>
      <c r="Q209" s="5"/>
      <c r="R209" s="5"/>
      <c r="S209" s="5"/>
    </row>
    <row r="210" spans="1:19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5"/>
      <c r="M210" s="5"/>
      <c r="N210" s="5"/>
      <c r="O210" s="5"/>
      <c r="P210" s="5"/>
      <c r="Q210" s="5"/>
      <c r="R210" s="5"/>
      <c r="S210" s="5"/>
    </row>
    <row r="211" spans="1:19">
      <c r="A211" s="33" t="s">
        <v>36</v>
      </c>
      <c r="B211" s="32" t="s">
        <v>37</v>
      </c>
      <c r="C211" s="32"/>
      <c r="D211" s="32"/>
      <c r="E211" s="32"/>
      <c r="F211" s="32"/>
      <c r="G211" s="32"/>
      <c r="H211" s="32"/>
      <c r="I211" s="32"/>
      <c r="J211" s="30">
        <v>12652</v>
      </c>
      <c r="K211" s="32" t="s">
        <v>38</v>
      </c>
      <c r="L211" s="5">
        <f>SUM(B211:J212)</f>
        <v>52756</v>
      </c>
      <c r="M211" s="5"/>
      <c r="N211" s="5"/>
      <c r="O211" s="5"/>
      <c r="P211" s="5"/>
      <c r="Q211" s="5"/>
      <c r="R211" s="5"/>
      <c r="S211" s="5"/>
    </row>
    <row r="212" spans="1:19">
      <c r="A212" s="30"/>
      <c r="B212" s="30">
        <v>40104</v>
      </c>
      <c r="C212" s="30"/>
      <c r="D212" s="30"/>
      <c r="E212" s="30"/>
      <c r="F212" s="30"/>
      <c r="G212" s="30"/>
      <c r="H212" s="30"/>
      <c r="I212" s="33"/>
      <c r="J212" s="30"/>
      <c r="K212" s="30"/>
      <c r="L212" s="5"/>
      <c r="M212" s="5"/>
      <c r="N212" s="5"/>
      <c r="O212" s="5"/>
      <c r="P212" s="5"/>
      <c r="Q212" s="5"/>
      <c r="R212" s="5"/>
      <c r="S212" s="5"/>
    </row>
    <row r="213" spans="1:19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5"/>
      <c r="M213" s="5"/>
      <c r="N213" s="5"/>
      <c r="O213" s="5"/>
      <c r="P213" s="5"/>
      <c r="Q213" s="5"/>
      <c r="R213" s="5"/>
      <c r="S213" s="5"/>
    </row>
    <row r="214" spans="1:19">
      <c r="A214" s="14" t="s">
        <v>46</v>
      </c>
      <c r="B214" s="12" t="s">
        <v>263</v>
      </c>
      <c r="C214" s="12"/>
      <c r="D214" s="12"/>
      <c r="E214" s="12"/>
      <c r="F214" s="12" t="s">
        <v>263</v>
      </c>
      <c r="G214" s="12" t="s">
        <v>1076</v>
      </c>
      <c r="H214" s="12"/>
      <c r="I214" s="12"/>
      <c r="J214" s="13">
        <v>11590</v>
      </c>
      <c r="K214" s="12" t="s">
        <v>264</v>
      </c>
      <c r="L214" s="5">
        <f>SUM(B214:J215)</f>
        <v>57086</v>
      </c>
      <c r="M214" s="5"/>
      <c r="N214" s="5"/>
      <c r="O214" s="5"/>
      <c r="P214" s="5"/>
      <c r="Q214" s="5"/>
      <c r="R214" s="5"/>
      <c r="S214" s="5"/>
    </row>
    <row r="215" spans="1:19">
      <c r="A215" s="13"/>
      <c r="B215" s="13">
        <v>41204</v>
      </c>
      <c r="C215" s="13"/>
      <c r="D215" s="13"/>
      <c r="E215" s="13"/>
      <c r="F215" s="13">
        <v>1992</v>
      </c>
      <c r="G215" s="13">
        <v>2300</v>
      </c>
      <c r="H215" s="13"/>
      <c r="I215" s="14"/>
      <c r="J215" s="13"/>
      <c r="K215" s="14"/>
      <c r="L215" s="5"/>
      <c r="M215" s="5"/>
      <c r="N215" s="5"/>
      <c r="O215" s="5"/>
      <c r="P215" s="5"/>
      <c r="Q215" s="5"/>
      <c r="R215" s="5"/>
      <c r="S215" s="5"/>
    </row>
    <row r="216" spans="1:19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5"/>
      <c r="M216" s="5"/>
      <c r="N216" s="5"/>
      <c r="O216" s="5"/>
      <c r="P216" s="5"/>
      <c r="Q216" s="5"/>
      <c r="R216" s="5"/>
      <c r="S216" s="5"/>
    </row>
    <row r="217" spans="1:19">
      <c r="A217" s="33" t="s">
        <v>51</v>
      </c>
      <c r="B217" s="29" t="s">
        <v>310</v>
      </c>
      <c r="C217" s="29"/>
      <c r="D217" s="29"/>
      <c r="E217" s="29"/>
      <c r="F217" s="29" t="s">
        <v>310</v>
      </c>
      <c r="G217" s="29"/>
      <c r="H217" s="29"/>
      <c r="I217" s="29"/>
      <c r="J217" s="30">
        <v>12074</v>
      </c>
      <c r="K217" s="29" t="s">
        <v>311</v>
      </c>
      <c r="L217" s="5">
        <f>SUM(B217:J218)</f>
        <v>43591</v>
      </c>
      <c r="M217" s="5"/>
      <c r="N217" s="5"/>
      <c r="O217" s="5"/>
      <c r="P217" s="5"/>
      <c r="Q217" s="5"/>
      <c r="R217" s="5"/>
      <c r="S217" s="5"/>
    </row>
    <row r="218" spans="1:19">
      <c r="A218" s="30"/>
      <c r="B218" s="30">
        <v>30487</v>
      </c>
      <c r="C218" s="30"/>
      <c r="D218" s="30"/>
      <c r="E218" s="30"/>
      <c r="F218" s="30">
        <v>1030</v>
      </c>
      <c r="G218" s="30"/>
      <c r="H218" s="30"/>
      <c r="I218" s="30"/>
      <c r="J218" s="30"/>
      <c r="K218" s="30"/>
      <c r="L218" s="5"/>
      <c r="M218" s="5"/>
      <c r="N218" s="5"/>
      <c r="O218" s="5"/>
      <c r="P218" s="5"/>
      <c r="Q218" s="5"/>
      <c r="R218" s="5"/>
      <c r="S218" s="5"/>
    </row>
    <row r="219" spans="1:19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5"/>
      <c r="M219" s="5"/>
      <c r="N219" s="5"/>
      <c r="O219" s="5"/>
      <c r="P219" s="5"/>
      <c r="Q219" s="5"/>
      <c r="R219" s="5"/>
      <c r="S219" s="5"/>
    </row>
    <row r="220" spans="1:19">
      <c r="A220" s="14" t="s">
        <v>58</v>
      </c>
      <c r="B220" s="12" t="s">
        <v>227</v>
      </c>
      <c r="C220" s="12"/>
      <c r="D220" s="12"/>
      <c r="E220" s="12"/>
      <c r="F220" s="12"/>
      <c r="G220" s="12"/>
      <c r="H220" s="12"/>
      <c r="I220" s="15"/>
      <c r="J220" s="13">
        <v>12892</v>
      </c>
      <c r="K220" s="12" t="s">
        <v>228</v>
      </c>
      <c r="L220" s="5">
        <f>SUM(B220:J221)</f>
        <v>57360</v>
      </c>
      <c r="M220" s="5"/>
      <c r="N220" s="5"/>
      <c r="O220" s="5"/>
      <c r="P220" s="5"/>
      <c r="Q220" s="5"/>
      <c r="R220" s="5"/>
      <c r="S220" s="5"/>
    </row>
    <row r="221" spans="1:19">
      <c r="A221" s="13"/>
      <c r="B221" s="13">
        <v>44468</v>
      </c>
      <c r="C221" s="13"/>
      <c r="D221" s="13"/>
      <c r="E221" s="13"/>
      <c r="F221" s="13"/>
      <c r="G221" s="13"/>
      <c r="H221" s="13"/>
      <c r="I221" s="13"/>
      <c r="J221" s="13"/>
      <c r="K221" s="14"/>
      <c r="L221" s="5"/>
      <c r="M221" s="5"/>
      <c r="N221" s="5"/>
      <c r="O221" s="5"/>
      <c r="P221" s="5"/>
      <c r="Q221" s="5"/>
      <c r="R221" s="5"/>
      <c r="S221" s="5"/>
    </row>
    <row r="222" spans="1:19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5"/>
      <c r="M222" s="5"/>
      <c r="N222" s="5"/>
      <c r="O222" s="5"/>
      <c r="P222" s="5"/>
      <c r="Q222" s="5"/>
      <c r="R222" s="5"/>
      <c r="S222" s="5"/>
    </row>
    <row r="223" spans="1:19">
      <c r="A223" s="33" t="s">
        <v>62</v>
      </c>
      <c r="B223" s="32" t="s">
        <v>839</v>
      </c>
      <c r="C223" s="32"/>
      <c r="D223" s="32"/>
      <c r="E223" s="32"/>
      <c r="F223" s="32" t="s">
        <v>312</v>
      </c>
      <c r="G223" s="32"/>
      <c r="H223" s="32"/>
      <c r="I223" s="32"/>
      <c r="J223" s="30">
        <v>10264</v>
      </c>
      <c r="K223" s="32" t="s">
        <v>841</v>
      </c>
      <c r="L223" s="5">
        <f>SUM(B223:J224)</f>
        <v>50651</v>
      </c>
      <c r="M223" s="5"/>
      <c r="N223" s="5"/>
      <c r="O223" s="5"/>
      <c r="P223" s="5"/>
      <c r="Q223" s="5"/>
      <c r="R223" s="5"/>
      <c r="S223" s="5"/>
    </row>
    <row r="224" spans="1:19">
      <c r="A224" s="30"/>
      <c r="B224" s="30">
        <v>39058</v>
      </c>
      <c r="C224" s="30"/>
      <c r="D224" s="30"/>
      <c r="E224" s="30"/>
      <c r="F224" s="30">
        <v>1329</v>
      </c>
      <c r="G224" s="30"/>
      <c r="H224" s="30"/>
      <c r="I224" s="33"/>
      <c r="J224" s="30"/>
      <c r="K224" s="33"/>
      <c r="L224" s="5"/>
      <c r="M224" s="5"/>
      <c r="N224" s="5"/>
      <c r="O224" s="5"/>
      <c r="P224" s="5"/>
      <c r="Q224" s="5"/>
      <c r="R224" s="5"/>
      <c r="S224" s="5"/>
    </row>
    <row r="225" spans="1:19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5"/>
      <c r="M225" s="5"/>
      <c r="N225" s="5"/>
      <c r="O225" s="5"/>
      <c r="P225" s="5"/>
      <c r="Q225" s="5"/>
      <c r="R225" s="5"/>
      <c r="S225" s="5"/>
    </row>
    <row r="226" spans="1:19">
      <c r="A226" s="14" t="s">
        <v>67</v>
      </c>
      <c r="B226" s="12" t="s">
        <v>68</v>
      </c>
      <c r="C226" s="12"/>
      <c r="D226" s="12"/>
      <c r="E226" s="12"/>
      <c r="F226" s="12"/>
      <c r="G226" s="12"/>
      <c r="H226" s="12"/>
      <c r="I226" s="12"/>
      <c r="J226" s="13">
        <v>11604</v>
      </c>
      <c r="K226" s="12" t="s">
        <v>69</v>
      </c>
      <c r="L226" s="5">
        <f>SUM(B226:J227)</f>
        <v>47843</v>
      </c>
      <c r="M226" s="5"/>
      <c r="N226" s="5"/>
      <c r="O226" s="5"/>
      <c r="P226" s="5"/>
      <c r="Q226" s="5"/>
      <c r="R226" s="5"/>
      <c r="S226" s="5"/>
    </row>
    <row r="227" spans="1:19">
      <c r="A227" s="13"/>
      <c r="B227" s="13">
        <v>36239</v>
      </c>
      <c r="C227" s="13"/>
      <c r="D227" s="13"/>
      <c r="E227" s="13"/>
      <c r="F227" s="13"/>
      <c r="G227" s="13"/>
      <c r="H227" s="13"/>
      <c r="I227" s="13"/>
      <c r="J227" s="13"/>
      <c r="K227" s="14"/>
      <c r="L227" s="5"/>
      <c r="M227" s="5"/>
      <c r="N227" s="5"/>
      <c r="O227" s="5"/>
      <c r="P227" s="5"/>
      <c r="Q227" s="5"/>
      <c r="R227" s="5"/>
      <c r="S227" s="5"/>
    </row>
    <row r="228" spans="1:19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5"/>
      <c r="M228" s="5"/>
      <c r="N228" s="5"/>
      <c r="O228" s="5"/>
      <c r="P228" s="5"/>
      <c r="Q228" s="5"/>
      <c r="R228" s="5"/>
      <c r="S228" s="5"/>
    </row>
    <row r="229" spans="1:19">
      <c r="A229" s="33" t="s">
        <v>72</v>
      </c>
      <c r="B229" s="32" t="s">
        <v>999</v>
      </c>
      <c r="C229" s="32" t="s">
        <v>843</v>
      </c>
      <c r="D229" s="32"/>
      <c r="E229" s="32"/>
      <c r="F229" s="32"/>
      <c r="G229" s="32"/>
      <c r="H229" s="32"/>
      <c r="I229" s="32"/>
      <c r="J229" s="30">
        <v>9213</v>
      </c>
      <c r="K229" s="32" t="s">
        <v>1000</v>
      </c>
      <c r="L229" s="5">
        <f>SUM(B229:J230)</f>
        <v>40034</v>
      </c>
      <c r="M229" s="5"/>
      <c r="N229" s="5"/>
      <c r="O229" s="5"/>
      <c r="P229" s="5"/>
      <c r="Q229" s="5"/>
      <c r="R229" s="5"/>
      <c r="S229" s="5"/>
    </row>
    <row r="230" spans="1:19">
      <c r="A230" s="30"/>
      <c r="B230" s="30">
        <v>28815</v>
      </c>
      <c r="C230" s="30">
        <v>2006</v>
      </c>
      <c r="D230" s="30"/>
      <c r="E230" s="30"/>
      <c r="F230" s="30"/>
      <c r="G230" s="30"/>
      <c r="H230" s="30"/>
      <c r="I230" s="30"/>
      <c r="J230" s="30"/>
      <c r="K230" s="33"/>
      <c r="L230" s="5"/>
      <c r="M230" s="5"/>
      <c r="N230" s="5"/>
      <c r="O230" s="5"/>
      <c r="P230" s="5"/>
      <c r="Q230" s="5"/>
      <c r="R230" s="5"/>
      <c r="S230" s="5"/>
    </row>
    <row r="231" spans="1:19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5"/>
      <c r="M231" s="5"/>
      <c r="N231" s="5"/>
      <c r="O231" s="5"/>
      <c r="P231" s="5"/>
      <c r="Q231" s="5"/>
      <c r="R231" s="5"/>
      <c r="S231" s="5"/>
    </row>
    <row r="232" spans="1:19">
      <c r="A232" s="14" t="s">
        <v>79</v>
      </c>
      <c r="B232" s="12" t="s">
        <v>346</v>
      </c>
      <c r="C232" s="12" t="s">
        <v>845</v>
      </c>
      <c r="D232" s="12" t="s">
        <v>845</v>
      </c>
      <c r="E232" s="12"/>
      <c r="F232" s="12" t="s">
        <v>346</v>
      </c>
      <c r="G232" s="12"/>
      <c r="H232" s="12" t="s">
        <v>845</v>
      </c>
      <c r="I232" s="12"/>
      <c r="J232" s="13">
        <v>7635</v>
      </c>
      <c r="K232" s="12" t="s">
        <v>347</v>
      </c>
      <c r="L232" s="5">
        <f>SUM(B232:J233)</f>
        <v>54282</v>
      </c>
      <c r="M232" s="5"/>
      <c r="N232" s="5"/>
      <c r="O232" s="5"/>
      <c r="P232" s="5"/>
      <c r="Q232" s="5"/>
      <c r="R232" s="5"/>
      <c r="S232" s="5"/>
    </row>
    <row r="233" spans="1:19">
      <c r="A233" s="13"/>
      <c r="B233" s="13">
        <v>31329</v>
      </c>
      <c r="C233" s="13">
        <v>13719</v>
      </c>
      <c r="D233" s="13">
        <v>493</v>
      </c>
      <c r="E233" s="13"/>
      <c r="F233" s="13">
        <v>817</v>
      </c>
      <c r="G233" s="13"/>
      <c r="H233" s="13">
        <v>289</v>
      </c>
      <c r="I233" s="13"/>
      <c r="J233" s="13"/>
      <c r="K233" s="14"/>
      <c r="L233" s="5"/>
      <c r="M233" s="5"/>
      <c r="N233" s="5"/>
      <c r="O233" s="5"/>
      <c r="P233" s="5"/>
      <c r="Q233" s="5"/>
      <c r="R233" s="5"/>
      <c r="S233" s="5"/>
    </row>
    <row r="234" spans="1:19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5"/>
      <c r="M234" s="5"/>
      <c r="N234" s="5"/>
      <c r="O234" s="5"/>
      <c r="P234" s="5"/>
      <c r="Q234" s="5"/>
      <c r="R234" s="5"/>
      <c r="S234" s="5"/>
    </row>
    <row r="235" spans="1:19">
      <c r="A235" s="33" t="s">
        <v>87</v>
      </c>
      <c r="B235" s="32" t="s">
        <v>266</v>
      </c>
      <c r="C235" s="32"/>
      <c r="D235" s="32"/>
      <c r="E235" s="32"/>
      <c r="F235" s="32" t="s">
        <v>266</v>
      </c>
      <c r="G235" s="32"/>
      <c r="H235" s="32"/>
      <c r="I235" s="29"/>
      <c r="J235" s="30">
        <v>13638</v>
      </c>
      <c r="K235" s="32" t="s">
        <v>265</v>
      </c>
      <c r="L235" s="5">
        <f>SUM(B235:J236)</f>
        <v>48374</v>
      </c>
      <c r="M235" s="5"/>
      <c r="N235" s="5"/>
      <c r="O235" s="5"/>
      <c r="P235" s="5"/>
      <c r="Q235" s="5"/>
      <c r="R235" s="5"/>
      <c r="S235" s="5"/>
    </row>
    <row r="236" spans="1:19">
      <c r="A236" s="30"/>
      <c r="B236" s="30">
        <v>32459</v>
      </c>
      <c r="C236" s="30"/>
      <c r="D236" s="30"/>
      <c r="E236" s="30"/>
      <c r="F236" s="30">
        <v>2277</v>
      </c>
      <c r="G236" s="30"/>
      <c r="H236" s="30"/>
      <c r="I236" s="30"/>
      <c r="J236" s="30"/>
      <c r="K236" s="30"/>
      <c r="L236" s="5"/>
      <c r="M236" s="5"/>
      <c r="N236" s="5"/>
      <c r="O236" s="5"/>
      <c r="P236" s="5"/>
      <c r="Q236" s="5"/>
      <c r="R236" s="5"/>
      <c r="S236" s="5"/>
    </row>
    <row r="237" spans="1:19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5"/>
      <c r="M237" s="5"/>
      <c r="N237" s="5"/>
      <c r="O237" s="5"/>
      <c r="P237" s="5"/>
      <c r="Q237" s="5"/>
      <c r="R237" s="5"/>
      <c r="S237" s="5"/>
    </row>
    <row r="238" spans="1:19">
      <c r="A238" s="14" t="s">
        <v>92</v>
      </c>
      <c r="B238" s="12" t="s">
        <v>201</v>
      </c>
      <c r="C238" s="12"/>
      <c r="D238" s="12"/>
      <c r="E238" s="12"/>
      <c r="F238" s="12" t="s">
        <v>201</v>
      </c>
      <c r="G238" s="12"/>
      <c r="H238" s="12"/>
      <c r="I238" s="12"/>
      <c r="J238" s="13">
        <v>13187</v>
      </c>
      <c r="K238" s="12" t="s">
        <v>24</v>
      </c>
      <c r="L238" s="5">
        <f>SUM(B238:J239)</f>
        <v>51905</v>
      </c>
      <c r="M238" s="5"/>
      <c r="N238" s="5"/>
      <c r="O238" s="5"/>
      <c r="P238" s="5"/>
      <c r="Q238" s="5"/>
      <c r="R238" s="5"/>
      <c r="S238" s="5"/>
    </row>
    <row r="239" spans="1:19">
      <c r="A239" s="13"/>
      <c r="B239" s="13">
        <v>36360</v>
      </c>
      <c r="C239" s="13"/>
      <c r="D239" s="13"/>
      <c r="E239" s="13"/>
      <c r="F239" s="13">
        <v>2358</v>
      </c>
      <c r="G239" s="13"/>
      <c r="H239" s="13"/>
      <c r="I239" s="12"/>
      <c r="J239" s="13"/>
      <c r="K239" s="13"/>
      <c r="L239" s="5"/>
      <c r="M239" s="5"/>
      <c r="N239" s="5"/>
      <c r="O239" s="5"/>
      <c r="P239" s="5"/>
      <c r="Q239" s="5"/>
      <c r="R239" s="5"/>
      <c r="S239" s="5"/>
    </row>
    <row r="240" spans="1:19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5"/>
      <c r="M240" s="5"/>
      <c r="N240" s="5"/>
      <c r="O240" s="5"/>
      <c r="P240" s="5"/>
      <c r="Q240" s="5"/>
      <c r="R240" s="5"/>
      <c r="S240" s="5"/>
    </row>
    <row r="241" spans="1:19">
      <c r="A241" s="33" t="s">
        <v>95</v>
      </c>
      <c r="B241" s="32" t="s">
        <v>1001</v>
      </c>
      <c r="C241" s="32" t="s">
        <v>1002</v>
      </c>
      <c r="D241" s="32" t="s">
        <v>1002</v>
      </c>
      <c r="E241" s="32"/>
      <c r="F241" s="32" t="s">
        <v>1001</v>
      </c>
      <c r="G241" s="32"/>
      <c r="H241" s="32"/>
      <c r="I241" s="32"/>
      <c r="J241" s="30">
        <v>7074</v>
      </c>
      <c r="K241" s="32" t="s">
        <v>1003</v>
      </c>
      <c r="L241" s="5">
        <f>SUM(B241:J242)</f>
        <v>51801</v>
      </c>
      <c r="M241" s="5"/>
      <c r="N241" s="5"/>
      <c r="O241" s="5"/>
      <c r="P241" s="5"/>
      <c r="Q241" s="5"/>
      <c r="R241" s="5"/>
      <c r="S241" s="5"/>
    </row>
    <row r="242" spans="1:19">
      <c r="A242" s="30"/>
      <c r="B242" s="29">
        <v>32336</v>
      </c>
      <c r="C242" s="29">
        <v>10686</v>
      </c>
      <c r="D242" s="29">
        <v>631</v>
      </c>
      <c r="E242" s="29"/>
      <c r="F242" s="29">
        <v>1074</v>
      </c>
      <c r="G242" s="29"/>
      <c r="H242" s="29"/>
      <c r="I242" s="30"/>
      <c r="J242" s="30"/>
      <c r="K242" s="33"/>
      <c r="L242" s="5"/>
      <c r="M242" s="5"/>
      <c r="N242" s="5"/>
      <c r="O242" s="5"/>
      <c r="P242" s="5"/>
      <c r="Q242" s="5"/>
      <c r="R242" s="5"/>
      <c r="S242" s="5"/>
    </row>
    <row r="243" spans="1:19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5"/>
      <c r="M243" s="5"/>
      <c r="N243" s="5"/>
      <c r="O243" s="5"/>
      <c r="P243" s="5"/>
      <c r="Q243" s="5"/>
      <c r="R243" s="5"/>
      <c r="S243" s="5"/>
    </row>
    <row r="244" spans="1:19">
      <c r="A244" s="14" t="s">
        <v>98</v>
      </c>
      <c r="B244" s="12" t="s">
        <v>1004</v>
      </c>
      <c r="C244" s="15" t="s">
        <v>676</v>
      </c>
      <c r="D244" s="12"/>
      <c r="E244" s="12" t="s">
        <v>1005</v>
      </c>
      <c r="F244" s="12" t="s">
        <v>1004</v>
      </c>
      <c r="G244" s="12"/>
      <c r="H244" s="12"/>
      <c r="I244" s="12"/>
      <c r="J244" s="13">
        <v>4125</v>
      </c>
      <c r="K244" s="12" t="s">
        <v>1006</v>
      </c>
      <c r="L244" s="5">
        <f>SUM(B244:J245)</f>
        <v>31288</v>
      </c>
      <c r="M244" s="5"/>
      <c r="N244" s="5"/>
      <c r="O244" s="5"/>
      <c r="P244" s="5"/>
      <c r="Q244" s="5"/>
      <c r="R244" s="5"/>
      <c r="S244" s="5"/>
    </row>
    <row r="245" spans="1:19">
      <c r="A245" s="13"/>
      <c r="B245" s="15">
        <v>26208</v>
      </c>
      <c r="C245" s="15">
        <v>470</v>
      </c>
      <c r="D245" s="15"/>
      <c r="E245" s="13">
        <v>142</v>
      </c>
      <c r="F245" s="13">
        <v>343</v>
      </c>
      <c r="G245" s="13"/>
      <c r="H245" s="13"/>
      <c r="I245" s="14"/>
      <c r="J245" s="13"/>
      <c r="K245" s="14"/>
      <c r="L245" s="5"/>
      <c r="M245" s="5"/>
      <c r="N245" s="5"/>
      <c r="O245" s="5"/>
      <c r="P245" s="5"/>
      <c r="Q245" s="5"/>
      <c r="R245" s="5"/>
      <c r="S245" s="5"/>
    </row>
    <row r="246" spans="1:19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5"/>
      <c r="M246" s="5"/>
      <c r="N246" s="5"/>
      <c r="O246" s="5"/>
      <c r="P246" s="5"/>
      <c r="Q246" s="5"/>
      <c r="R246" s="5"/>
      <c r="S246" s="5"/>
    </row>
    <row r="247" spans="1:19">
      <c r="A247" s="33" t="s">
        <v>103</v>
      </c>
      <c r="B247" s="32" t="s">
        <v>203</v>
      </c>
      <c r="C247" s="32" t="s">
        <v>528</v>
      </c>
      <c r="D247" s="32"/>
      <c r="E247" s="32" t="s">
        <v>1007</v>
      </c>
      <c r="F247" s="32"/>
      <c r="G247" s="32"/>
      <c r="H247" s="32"/>
      <c r="I247" s="32"/>
      <c r="J247" s="30">
        <v>3846</v>
      </c>
      <c r="K247" s="32" t="s">
        <v>202</v>
      </c>
      <c r="L247" s="5">
        <f>SUM(B247:J248)</f>
        <v>25378</v>
      </c>
      <c r="M247" s="5"/>
      <c r="N247" s="5"/>
      <c r="O247" s="5"/>
      <c r="P247" s="5"/>
      <c r="Q247" s="5"/>
      <c r="R247" s="5"/>
      <c r="S247" s="5"/>
    </row>
    <row r="248" spans="1:19">
      <c r="A248" s="30"/>
      <c r="B248" s="29">
        <v>20241</v>
      </c>
      <c r="C248" s="29">
        <v>990</v>
      </c>
      <c r="D248" s="29"/>
      <c r="E248" s="29">
        <v>301</v>
      </c>
      <c r="F248" s="29"/>
      <c r="G248" s="29"/>
      <c r="H248" s="29"/>
      <c r="I248" s="33"/>
      <c r="J248" s="30"/>
      <c r="K248" s="30"/>
      <c r="L248" s="5"/>
      <c r="M248" s="5"/>
      <c r="N248" s="5"/>
      <c r="O248" s="5"/>
      <c r="P248" s="5"/>
      <c r="Q248" s="5"/>
      <c r="R248" s="5"/>
      <c r="S248" s="5"/>
    </row>
    <row r="249" spans="1:1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1:19">
      <c r="A250" s="14" t="s">
        <v>109</v>
      </c>
      <c r="B250" s="12" t="s">
        <v>1008</v>
      </c>
      <c r="C250" s="12" t="s">
        <v>1008</v>
      </c>
      <c r="D250" s="12" t="s">
        <v>1009</v>
      </c>
      <c r="E250" s="12" t="s">
        <v>348</v>
      </c>
      <c r="F250" s="12" t="s">
        <v>1008</v>
      </c>
      <c r="G250" s="12"/>
      <c r="H250" s="12"/>
      <c r="I250" s="15"/>
      <c r="J250" s="13">
        <v>5605</v>
      </c>
      <c r="K250" s="12" t="s">
        <v>1010</v>
      </c>
      <c r="L250" s="13">
        <f>SUM(B250:J251)</f>
        <v>34709</v>
      </c>
      <c r="M250" s="5"/>
      <c r="N250" s="5"/>
      <c r="O250" s="5"/>
      <c r="P250" s="5"/>
      <c r="Q250" s="5"/>
      <c r="R250" s="5"/>
      <c r="S250" s="5"/>
    </row>
    <row r="251" spans="1:19">
      <c r="A251" s="13"/>
      <c r="B251" s="15">
        <v>27436</v>
      </c>
      <c r="C251" s="15">
        <v>435</v>
      </c>
      <c r="D251" s="15">
        <v>651</v>
      </c>
      <c r="E251" s="15">
        <v>228</v>
      </c>
      <c r="F251" s="15">
        <v>354</v>
      </c>
      <c r="G251" s="15"/>
      <c r="H251" s="15"/>
      <c r="I251" s="13"/>
      <c r="J251" s="13"/>
      <c r="K251" s="13"/>
      <c r="L251" s="13"/>
      <c r="M251" s="5"/>
      <c r="N251" s="5"/>
      <c r="O251" s="5"/>
      <c r="P251" s="5"/>
      <c r="Q251" s="5"/>
      <c r="R251" s="5"/>
      <c r="S251" s="5"/>
    </row>
    <row r="252" spans="1:19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5"/>
      <c r="N252" s="5"/>
      <c r="O252" s="5"/>
      <c r="P252" s="5"/>
      <c r="Q252" s="5"/>
      <c r="R252" s="5"/>
      <c r="S252" s="5"/>
    </row>
    <row r="253" spans="1:19">
      <c r="A253" s="33" t="s">
        <v>113</v>
      </c>
      <c r="B253" s="32" t="s">
        <v>349</v>
      </c>
      <c r="C253" s="32" t="s">
        <v>350</v>
      </c>
      <c r="D253" s="32"/>
      <c r="E253" s="32" t="s">
        <v>1011</v>
      </c>
      <c r="F253" s="32" t="s">
        <v>203</v>
      </c>
      <c r="G253" s="32" t="s">
        <v>1077</v>
      </c>
      <c r="H253" s="32"/>
      <c r="I253" s="29"/>
      <c r="J253" s="30">
        <v>4507</v>
      </c>
      <c r="K253" s="32" t="s">
        <v>351</v>
      </c>
      <c r="L253" s="13">
        <f>SUM(B253:J254)</f>
        <v>32814</v>
      </c>
      <c r="M253" s="5"/>
      <c r="N253" s="5"/>
      <c r="O253" s="5"/>
      <c r="P253" s="5"/>
      <c r="Q253" s="5"/>
      <c r="R253" s="5"/>
      <c r="S253" s="5"/>
    </row>
    <row r="254" spans="1:19">
      <c r="A254" s="30"/>
      <c r="B254" s="29">
        <v>22386</v>
      </c>
      <c r="C254" s="29">
        <v>2600</v>
      </c>
      <c r="D254" s="30"/>
      <c r="E254" s="29">
        <v>861</v>
      </c>
      <c r="F254" s="29">
        <v>2186</v>
      </c>
      <c r="G254" s="29">
        <v>274</v>
      </c>
      <c r="H254" s="29"/>
      <c r="I254" s="30"/>
      <c r="J254" s="30"/>
      <c r="K254" s="30"/>
      <c r="L254" s="13"/>
      <c r="M254" s="5"/>
      <c r="N254" s="5"/>
      <c r="O254" s="5"/>
      <c r="P254" s="5"/>
      <c r="Q254" s="5"/>
      <c r="R254" s="5"/>
      <c r="S254" s="5"/>
    </row>
    <row r="255" spans="1:19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5"/>
      <c r="N255" s="5"/>
      <c r="O255" s="5"/>
      <c r="P255" s="5"/>
      <c r="Q255" s="5"/>
      <c r="R255" s="5"/>
      <c r="S255" s="5"/>
    </row>
    <row r="256" spans="1:19">
      <c r="A256" s="14" t="s">
        <v>124</v>
      </c>
      <c r="B256" s="12" t="s">
        <v>125</v>
      </c>
      <c r="C256" s="12"/>
      <c r="D256" s="12"/>
      <c r="E256" s="12" t="s">
        <v>1012</v>
      </c>
      <c r="F256" s="12" t="s">
        <v>313</v>
      </c>
      <c r="G256" s="12"/>
      <c r="H256" s="12"/>
      <c r="I256" s="12"/>
      <c r="J256" s="13">
        <v>6289</v>
      </c>
      <c r="K256" s="12" t="s">
        <v>126</v>
      </c>
      <c r="L256" s="13">
        <f>SUM(B256:J257)</f>
        <v>40974</v>
      </c>
      <c r="M256" s="5"/>
      <c r="N256" s="5"/>
      <c r="O256" s="5"/>
      <c r="P256" s="5"/>
      <c r="Q256" s="5"/>
      <c r="R256" s="5"/>
      <c r="S256" s="5"/>
    </row>
    <row r="257" spans="1:19">
      <c r="A257" s="13"/>
      <c r="B257" s="15">
        <v>30887</v>
      </c>
      <c r="C257" s="15"/>
      <c r="D257" s="15"/>
      <c r="E257" s="15">
        <v>2434</v>
      </c>
      <c r="F257" s="15">
        <v>1364</v>
      </c>
      <c r="G257" s="15"/>
      <c r="H257" s="15"/>
      <c r="I257" s="15"/>
      <c r="J257" s="13"/>
      <c r="K257" s="13"/>
      <c r="L257" s="13"/>
      <c r="M257" s="5"/>
      <c r="N257" s="5"/>
      <c r="O257" s="5"/>
      <c r="P257" s="5"/>
      <c r="Q257" s="5"/>
      <c r="R257" s="5"/>
      <c r="S257" s="5"/>
    </row>
    <row r="258" spans="1:19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5"/>
      <c r="N258" s="5"/>
      <c r="O258" s="5"/>
      <c r="P258" s="5"/>
      <c r="Q258" s="5"/>
      <c r="R258" s="5"/>
      <c r="S258" s="5"/>
    </row>
    <row r="259" spans="1:19">
      <c r="A259" s="33" t="s">
        <v>130</v>
      </c>
      <c r="B259" s="32" t="s">
        <v>246</v>
      </c>
      <c r="C259" s="32" t="s">
        <v>352</v>
      </c>
      <c r="D259" s="29"/>
      <c r="E259" s="32" t="s">
        <v>352</v>
      </c>
      <c r="F259" s="32" t="s">
        <v>246</v>
      </c>
      <c r="G259" s="32"/>
      <c r="H259" s="32"/>
      <c r="I259" s="29"/>
      <c r="J259" s="30">
        <v>4955</v>
      </c>
      <c r="K259" s="32" t="s">
        <v>247</v>
      </c>
      <c r="L259" s="13">
        <f>SUM(B259:J260)</f>
        <v>42841</v>
      </c>
      <c r="M259" s="5"/>
      <c r="N259" s="5"/>
      <c r="O259" s="5"/>
      <c r="P259" s="5"/>
      <c r="Q259" s="5"/>
      <c r="R259" s="5"/>
      <c r="S259" s="5"/>
    </row>
    <row r="260" spans="1:19">
      <c r="A260" s="30"/>
      <c r="B260" s="29">
        <v>30687</v>
      </c>
      <c r="C260" s="29">
        <v>4840</v>
      </c>
      <c r="D260" s="30"/>
      <c r="E260" s="29">
        <v>964</v>
      </c>
      <c r="F260" s="29">
        <v>1395</v>
      </c>
      <c r="G260" s="29"/>
      <c r="H260" s="29"/>
      <c r="I260" s="29"/>
      <c r="J260" s="30"/>
      <c r="K260" s="30"/>
      <c r="L260" s="13"/>
      <c r="M260" s="5"/>
      <c r="N260" s="5"/>
      <c r="O260" s="5"/>
      <c r="P260" s="5"/>
      <c r="Q260" s="5"/>
      <c r="R260" s="5"/>
      <c r="S260" s="5"/>
    </row>
    <row r="261" spans="1:19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5"/>
      <c r="N261" s="5"/>
      <c r="O261" s="5"/>
      <c r="P261" s="5"/>
      <c r="Q261" s="5"/>
      <c r="R261" s="5"/>
      <c r="S261" s="5"/>
    </row>
    <row r="262" spans="1:19">
      <c r="A262" s="14" t="s">
        <v>136</v>
      </c>
      <c r="B262" s="12" t="s">
        <v>204</v>
      </c>
      <c r="C262" s="12" t="s">
        <v>1013</v>
      </c>
      <c r="D262" s="15"/>
      <c r="E262" s="12"/>
      <c r="F262" s="12" t="s">
        <v>204</v>
      </c>
      <c r="G262" s="12" t="s">
        <v>1078</v>
      </c>
      <c r="H262" s="12"/>
      <c r="I262" s="15"/>
      <c r="J262" s="13">
        <v>4010</v>
      </c>
      <c r="K262" s="12" t="s">
        <v>205</v>
      </c>
      <c r="L262" s="13">
        <f>SUM(B262:J263)</f>
        <v>39249</v>
      </c>
      <c r="M262" s="5"/>
      <c r="N262" s="5"/>
      <c r="O262" s="5"/>
      <c r="P262" s="5"/>
      <c r="Q262" s="5"/>
      <c r="R262" s="5"/>
      <c r="S262" s="5"/>
    </row>
    <row r="263" spans="1:19">
      <c r="A263" s="13"/>
      <c r="B263" s="15">
        <v>33868</v>
      </c>
      <c r="C263" s="15">
        <v>767</v>
      </c>
      <c r="D263" s="15"/>
      <c r="E263" s="15"/>
      <c r="F263" s="15">
        <v>426</v>
      </c>
      <c r="G263" s="15">
        <v>178</v>
      </c>
      <c r="H263" s="15"/>
      <c r="I263" s="15"/>
      <c r="J263" s="13"/>
      <c r="K263" s="13"/>
      <c r="L263" s="13"/>
      <c r="M263" s="5"/>
      <c r="N263" s="5"/>
      <c r="O263" s="5"/>
      <c r="P263" s="5"/>
      <c r="Q263" s="5"/>
      <c r="R263" s="5"/>
      <c r="S263" s="5"/>
    </row>
    <row r="264" spans="1:19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5"/>
      <c r="N264" s="5"/>
      <c r="O264" s="5"/>
      <c r="P264" s="5"/>
      <c r="Q264" s="5"/>
      <c r="R264" s="5"/>
      <c r="S264" s="5"/>
    </row>
    <row r="265" spans="1:19">
      <c r="A265" s="33" t="s">
        <v>140</v>
      </c>
      <c r="B265" s="29" t="s">
        <v>229</v>
      </c>
      <c r="C265" s="32"/>
      <c r="D265" s="29"/>
      <c r="E265" s="32" t="s">
        <v>854</v>
      </c>
      <c r="F265" s="32"/>
      <c r="G265" s="32"/>
      <c r="H265" s="32"/>
      <c r="I265" s="29"/>
      <c r="J265" s="30">
        <v>5012</v>
      </c>
      <c r="K265" s="32" t="s">
        <v>88</v>
      </c>
      <c r="L265" s="13">
        <f>SUM(B265:J266)</f>
        <v>30926</v>
      </c>
      <c r="M265" s="5"/>
      <c r="N265" s="5"/>
      <c r="O265" s="5"/>
      <c r="P265" s="5"/>
      <c r="Q265" s="5"/>
      <c r="R265" s="5"/>
      <c r="S265" s="5"/>
    </row>
    <row r="266" spans="1:19">
      <c r="A266" s="30"/>
      <c r="B266" s="29">
        <v>25298</v>
      </c>
      <c r="C266" s="29"/>
      <c r="D266" s="30"/>
      <c r="E266" s="30">
        <v>616</v>
      </c>
      <c r="F266" s="30"/>
      <c r="G266" s="30"/>
      <c r="H266" s="30"/>
      <c r="I266" s="29"/>
      <c r="J266" s="30"/>
      <c r="K266" s="30"/>
      <c r="L266" s="13"/>
      <c r="M266" s="5"/>
      <c r="N266" s="5"/>
      <c r="O266" s="5"/>
      <c r="P266" s="5"/>
      <c r="Q266" s="5"/>
      <c r="R266" s="5"/>
      <c r="S266" s="5"/>
    </row>
    <row r="267" spans="1:19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5"/>
      <c r="N267" s="5"/>
      <c r="O267" s="5"/>
      <c r="P267" s="5"/>
      <c r="Q267" s="5"/>
      <c r="R267" s="5"/>
      <c r="S267" s="5"/>
    </row>
    <row r="268" spans="1:19">
      <c r="A268" s="14" t="s">
        <v>144</v>
      </c>
      <c r="B268" s="15" t="s">
        <v>281</v>
      </c>
      <c r="C268" s="12" t="s">
        <v>353</v>
      </c>
      <c r="D268" s="15"/>
      <c r="E268" s="12" t="s">
        <v>1014</v>
      </c>
      <c r="F268" s="12" t="s">
        <v>281</v>
      </c>
      <c r="G268" s="12" t="s">
        <v>596</v>
      </c>
      <c r="H268" s="12"/>
      <c r="I268" s="15"/>
      <c r="J268" s="13">
        <v>4686</v>
      </c>
      <c r="K268" s="12" t="s">
        <v>314</v>
      </c>
      <c r="L268" s="13">
        <f>SUM(B268:J269)</f>
        <v>30749</v>
      </c>
      <c r="M268" s="5"/>
      <c r="N268" s="5"/>
      <c r="O268" s="5"/>
      <c r="P268" s="5"/>
      <c r="Q268" s="5"/>
      <c r="R268" s="5"/>
      <c r="S268" s="5"/>
    </row>
    <row r="269" spans="1:19">
      <c r="A269" s="13"/>
      <c r="B269" s="15">
        <v>24605</v>
      </c>
      <c r="C269" s="13">
        <v>620</v>
      </c>
      <c r="D269" s="15"/>
      <c r="E269" s="13">
        <v>324</v>
      </c>
      <c r="F269" s="13">
        <v>392</v>
      </c>
      <c r="G269" s="13">
        <v>122</v>
      </c>
      <c r="H269" s="13"/>
      <c r="I269" s="13"/>
      <c r="J269" s="13"/>
      <c r="K269" s="13"/>
      <c r="L269" s="13"/>
      <c r="M269" s="5"/>
      <c r="N269" s="5"/>
      <c r="O269" s="5"/>
      <c r="P269" s="5"/>
      <c r="Q269" s="5"/>
      <c r="R269" s="5"/>
      <c r="S269" s="5"/>
    </row>
    <row r="270" spans="1:19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5"/>
      <c r="N270" s="5"/>
      <c r="O270" s="5"/>
      <c r="P270" s="5"/>
      <c r="Q270" s="5"/>
      <c r="R270" s="5"/>
      <c r="S270" s="5"/>
    </row>
    <row r="271" spans="1:19">
      <c r="A271" s="33" t="s">
        <v>148</v>
      </c>
      <c r="B271" s="29" t="s">
        <v>1015</v>
      </c>
      <c r="C271" s="32" t="s">
        <v>1016</v>
      </c>
      <c r="D271" s="30"/>
      <c r="E271" s="29" t="s">
        <v>1017</v>
      </c>
      <c r="F271" s="29" t="s">
        <v>1015</v>
      </c>
      <c r="G271" s="29"/>
      <c r="H271" s="29"/>
      <c r="I271" s="29"/>
      <c r="J271" s="30">
        <v>3749</v>
      </c>
      <c r="K271" s="32" t="s">
        <v>1018</v>
      </c>
      <c r="L271" s="13">
        <f>SUM(B271:J272)</f>
        <v>27681</v>
      </c>
      <c r="M271" s="5"/>
      <c r="N271" s="5"/>
      <c r="O271" s="5"/>
      <c r="P271" s="5"/>
      <c r="Q271" s="5"/>
      <c r="R271" s="5"/>
      <c r="S271" s="5"/>
    </row>
    <row r="272" spans="1:19">
      <c r="A272" s="30"/>
      <c r="B272" s="29">
        <v>22801</v>
      </c>
      <c r="C272" s="30">
        <v>698</v>
      </c>
      <c r="D272" s="30"/>
      <c r="E272" s="30">
        <v>145</v>
      </c>
      <c r="F272" s="30">
        <v>288</v>
      </c>
      <c r="G272" s="30"/>
      <c r="H272" s="30"/>
      <c r="I272" s="30"/>
      <c r="J272" s="30"/>
      <c r="K272" s="30"/>
      <c r="L272" s="13"/>
      <c r="M272" s="5"/>
      <c r="N272" s="5"/>
      <c r="O272" s="5"/>
      <c r="P272" s="5"/>
      <c r="Q272" s="5"/>
      <c r="R272" s="5"/>
      <c r="S272" s="5"/>
    </row>
    <row r="273" spans="1:19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13"/>
      <c r="M273" s="5"/>
      <c r="N273" s="5"/>
      <c r="O273" s="5"/>
      <c r="P273" s="5"/>
      <c r="Q273" s="5"/>
      <c r="R273" s="5"/>
      <c r="S273" s="5"/>
    </row>
    <row r="274" spans="1:19" ht="17.25">
      <c r="A274" s="33" t="s">
        <v>1075</v>
      </c>
      <c r="B274" s="29" t="s">
        <v>396</v>
      </c>
      <c r="C274" s="29" t="s">
        <v>855</v>
      </c>
      <c r="D274" s="29"/>
      <c r="E274" s="29" t="s">
        <v>1019</v>
      </c>
      <c r="F274" s="29" t="s">
        <v>396</v>
      </c>
      <c r="G274" s="29"/>
      <c r="H274" s="29"/>
      <c r="I274" s="29"/>
      <c r="J274" s="29">
        <v>1234</v>
      </c>
      <c r="K274" s="29" t="s">
        <v>1020</v>
      </c>
      <c r="L274" s="13">
        <f>SUM(B274:J275)</f>
        <v>8913</v>
      </c>
      <c r="M274" s="5"/>
      <c r="N274" s="5"/>
      <c r="O274" s="5"/>
      <c r="P274" s="5"/>
      <c r="Q274" s="5"/>
      <c r="R274" s="5"/>
      <c r="S274" s="5"/>
    </row>
    <row r="275" spans="1:19">
      <c r="A275" s="30"/>
      <c r="B275" s="30">
        <v>7174</v>
      </c>
      <c r="C275" s="30">
        <v>243</v>
      </c>
      <c r="D275" s="30"/>
      <c r="E275" s="30">
        <v>103</v>
      </c>
      <c r="F275" s="30">
        <v>159</v>
      </c>
      <c r="G275" s="30"/>
      <c r="H275" s="30"/>
      <c r="I275" s="30"/>
      <c r="J275" s="30"/>
      <c r="K275" s="30"/>
      <c r="L275" s="13"/>
      <c r="M275" s="5"/>
      <c r="N275" s="5"/>
      <c r="O275" s="5"/>
      <c r="P275" s="5"/>
      <c r="Q275" s="5"/>
      <c r="R275" s="5"/>
      <c r="S275" s="5"/>
    </row>
    <row r="276" spans="1:19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5"/>
      <c r="N276" s="5"/>
      <c r="O276" s="5"/>
      <c r="P276" s="5"/>
      <c r="Q276" s="5"/>
      <c r="R276" s="5"/>
      <c r="S276" s="5"/>
    </row>
    <row r="277" spans="1:19">
      <c r="A277" s="14" t="s">
        <v>153</v>
      </c>
      <c r="B277" s="15" t="s">
        <v>354</v>
      </c>
      <c r="C277" s="12"/>
      <c r="D277" s="12"/>
      <c r="E277" s="15" t="s">
        <v>355</v>
      </c>
      <c r="F277" s="15" t="s">
        <v>354</v>
      </c>
      <c r="G277" s="15" t="s">
        <v>1079</v>
      </c>
      <c r="H277" s="15"/>
      <c r="I277" s="15"/>
      <c r="J277" s="15">
        <v>6088</v>
      </c>
      <c r="K277" s="12" t="s">
        <v>356</v>
      </c>
      <c r="L277" s="13">
        <f>SUM(B277:J278)</f>
        <v>35787</v>
      </c>
      <c r="M277" s="5"/>
      <c r="N277" s="5"/>
      <c r="O277" s="5"/>
      <c r="P277" s="5"/>
      <c r="Q277" s="5"/>
      <c r="R277" s="5"/>
      <c r="S277" s="5"/>
    </row>
    <row r="278" spans="1:19">
      <c r="A278" s="13"/>
      <c r="B278" s="15">
        <v>28179</v>
      </c>
      <c r="C278" s="15"/>
      <c r="D278" s="15"/>
      <c r="E278" s="13">
        <v>646</v>
      </c>
      <c r="F278" s="13">
        <v>598</v>
      </c>
      <c r="G278" s="13">
        <v>276</v>
      </c>
      <c r="H278" s="13"/>
      <c r="I278" s="13"/>
      <c r="J278" s="13"/>
      <c r="K278" s="13"/>
      <c r="L278" s="13"/>
      <c r="M278" s="5"/>
      <c r="N278" s="5"/>
      <c r="O278" s="5"/>
      <c r="P278" s="5"/>
      <c r="Q278" s="5"/>
      <c r="R278" s="5"/>
      <c r="S278" s="5"/>
    </row>
    <row r="279" spans="1:19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5"/>
      <c r="N279" s="5"/>
      <c r="O279" s="5"/>
      <c r="P279" s="5"/>
      <c r="Q279" s="5"/>
      <c r="R279" s="5"/>
      <c r="S279" s="5"/>
    </row>
    <row r="280" spans="1:19">
      <c r="A280" s="33" t="s">
        <v>161</v>
      </c>
      <c r="B280" s="29" t="s">
        <v>206</v>
      </c>
      <c r="C280" s="32"/>
      <c r="D280" s="32" t="s">
        <v>206</v>
      </c>
      <c r="E280" s="29"/>
      <c r="F280" s="29" t="s">
        <v>206</v>
      </c>
      <c r="G280" s="29"/>
      <c r="H280" s="29"/>
      <c r="I280" s="29"/>
      <c r="J280" s="29">
        <v>21177</v>
      </c>
      <c r="K280" s="32" t="s">
        <v>207</v>
      </c>
      <c r="L280" s="13">
        <f>SUM(B280:J281)</f>
        <v>61792</v>
      </c>
      <c r="M280" s="5"/>
      <c r="N280" s="5"/>
      <c r="O280" s="5"/>
      <c r="P280" s="5"/>
      <c r="Q280" s="5"/>
      <c r="R280" s="5"/>
      <c r="S280" s="5"/>
    </row>
    <row r="281" spans="1:19">
      <c r="A281" s="30"/>
      <c r="B281" s="29">
        <v>36031</v>
      </c>
      <c r="C281" s="29"/>
      <c r="D281" s="29">
        <v>2394</v>
      </c>
      <c r="E281" s="30"/>
      <c r="F281" s="30">
        <v>2190</v>
      </c>
      <c r="G281" s="30"/>
      <c r="H281" s="30"/>
      <c r="I281" s="30"/>
      <c r="J281" s="30"/>
      <c r="K281" s="30"/>
      <c r="L281" s="13"/>
      <c r="M281" s="5"/>
      <c r="N281" s="5"/>
      <c r="O281" s="5"/>
      <c r="P281" s="5"/>
      <c r="Q281" s="5"/>
      <c r="R281" s="5"/>
      <c r="S281" s="5"/>
    </row>
    <row r="282" spans="1:19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5"/>
      <c r="N282" s="5"/>
      <c r="O282" s="5"/>
      <c r="P282" s="5"/>
      <c r="Q282" s="5"/>
      <c r="R282" s="5"/>
      <c r="S282" s="5"/>
    </row>
    <row r="283" spans="1:19">
      <c r="A283" s="14" t="s">
        <v>167</v>
      </c>
      <c r="B283" s="15" t="s">
        <v>189</v>
      </c>
      <c r="C283" s="15" t="s">
        <v>1021</v>
      </c>
      <c r="D283" s="15" t="s">
        <v>189</v>
      </c>
      <c r="E283" s="15"/>
      <c r="F283" s="15" t="s">
        <v>189</v>
      </c>
      <c r="G283" s="15"/>
      <c r="H283" s="15"/>
      <c r="I283" s="15"/>
      <c r="J283" s="15">
        <v>8737</v>
      </c>
      <c r="K283" s="12" t="s">
        <v>1022</v>
      </c>
      <c r="L283" s="13">
        <f>SUM(B283:J284)</f>
        <v>44025</v>
      </c>
      <c r="M283" s="5"/>
      <c r="N283" s="5"/>
      <c r="O283" s="5"/>
      <c r="P283" s="5"/>
      <c r="Q283" s="5"/>
      <c r="R283" s="5"/>
      <c r="S283" s="5"/>
    </row>
    <row r="284" spans="1:19">
      <c r="A284" s="13"/>
      <c r="B284" s="15">
        <v>31685</v>
      </c>
      <c r="C284" s="15">
        <v>2147</v>
      </c>
      <c r="D284" s="13">
        <v>506</v>
      </c>
      <c r="E284" s="13"/>
      <c r="F284" s="13">
        <v>950</v>
      </c>
      <c r="G284" s="13"/>
      <c r="H284" s="13"/>
      <c r="I284" s="13"/>
      <c r="J284" s="13"/>
      <c r="K284" s="13"/>
      <c r="L284" s="13"/>
      <c r="M284" s="5"/>
      <c r="N284" s="5"/>
      <c r="O284" s="5"/>
      <c r="P284" s="5"/>
      <c r="Q284" s="5"/>
      <c r="R284" s="5"/>
      <c r="S284" s="5"/>
    </row>
    <row r="285" spans="1:19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5"/>
      <c r="N285" s="5"/>
      <c r="O285" s="5"/>
      <c r="P285" s="5"/>
      <c r="Q285" s="5"/>
      <c r="R285" s="5"/>
      <c r="S285" s="5"/>
    </row>
    <row r="286" spans="1:19">
      <c r="A286" s="33" t="s">
        <v>172</v>
      </c>
      <c r="B286" s="29" t="s">
        <v>357</v>
      </c>
      <c r="C286" s="32"/>
      <c r="D286" s="29" t="s">
        <v>357</v>
      </c>
      <c r="E286" s="29"/>
      <c r="F286" s="29" t="s">
        <v>357</v>
      </c>
      <c r="G286" s="29"/>
      <c r="H286" s="29"/>
      <c r="I286" s="29"/>
      <c r="J286" s="30">
        <v>17911</v>
      </c>
      <c r="K286" s="32" t="s">
        <v>358</v>
      </c>
      <c r="L286" s="13">
        <f>SUM(B286:J287)</f>
        <v>46559</v>
      </c>
      <c r="M286" s="5"/>
      <c r="N286" s="5"/>
      <c r="O286" s="5"/>
      <c r="P286" s="5"/>
      <c r="Q286" s="5"/>
      <c r="R286" s="5"/>
      <c r="S286" s="5"/>
    </row>
    <row r="287" spans="1:19">
      <c r="A287" s="30"/>
      <c r="B287" s="29">
        <v>25076</v>
      </c>
      <c r="C287" s="29"/>
      <c r="D287" s="30">
        <v>1662</v>
      </c>
      <c r="E287" s="30"/>
      <c r="F287" s="30">
        <v>1910</v>
      </c>
      <c r="G287" s="30"/>
      <c r="H287" s="30"/>
      <c r="I287" s="30"/>
      <c r="J287" s="30"/>
      <c r="K287" s="30"/>
      <c r="L287" s="13"/>
      <c r="M287" s="5"/>
      <c r="N287" s="5"/>
      <c r="O287" s="5"/>
      <c r="P287" s="5"/>
      <c r="Q287" s="5"/>
      <c r="R287" s="5"/>
      <c r="S287" s="5"/>
    </row>
    <row r="288" spans="1:19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5"/>
      <c r="N288" s="5"/>
      <c r="O288" s="5"/>
      <c r="P288" s="5"/>
      <c r="Q288" s="5"/>
      <c r="R288" s="5"/>
      <c r="S288" s="5"/>
    </row>
    <row r="289" spans="1:19">
      <c r="A289" s="14" t="s">
        <v>177</v>
      </c>
      <c r="B289" s="15" t="s">
        <v>359</v>
      </c>
      <c r="C289" s="12" t="s">
        <v>1023</v>
      </c>
      <c r="D289" s="12" t="s">
        <v>359</v>
      </c>
      <c r="E289" s="12" t="s">
        <v>1023</v>
      </c>
      <c r="F289" s="12" t="s">
        <v>359</v>
      </c>
      <c r="G289" s="12"/>
      <c r="H289" s="12"/>
      <c r="I289" s="15"/>
      <c r="J289" s="15">
        <v>6665</v>
      </c>
      <c r="K289" s="12" t="s">
        <v>360</v>
      </c>
      <c r="L289" s="13">
        <f>SUM(B289:J290)</f>
        <v>47967</v>
      </c>
      <c r="M289" s="5"/>
      <c r="N289" s="5"/>
      <c r="O289" s="5"/>
      <c r="P289" s="5"/>
      <c r="Q289" s="5"/>
      <c r="R289" s="5"/>
      <c r="S289" s="5"/>
    </row>
    <row r="290" spans="1:19">
      <c r="A290" s="13"/>
      <c r="B290" s="13">
        <v>24315</v>
      </c>
      <c r="C290" s="14">
        <v>13992</v>
      </c>
      <c r="D290" s="13">
        <v>631</v>
      </c>
      <c r="E290" s="13">
        <v>1405</v>
      </c>
      <c r="F290" s="13">
        <v>959</v>
      </c>
      <c r="G290" s="13"/>
      <c r="H290" s="13"/>
      <c r="I290" s="13"/>
      <c r="J290" s="13"/>
      <c r="K290" s="13"/>
      <c r="L290" s="13"/>
      <c r="M290" s="5"/>
      <c r="N290" s="5"/>
      <c r="O290" s="5"/>
      <c r="P290" s="5"/>
      <c r="Q290" s="5"/>
      <c r="R290" s="5"/>
      <c r="S290" s="5"/>
    </row>
    <row r="291" spans="1:19">
      <c r="A291" s="13"/>
      <c r="B291" s="13"/>
      <c r="C291" s="14"/>
      <c r="D291" s="13"/>
      <c r="E291" s="13"/>
      <c r="F291" s="13"/>
      <c r="G291" s="13"/>
      <c r="H291" s="13"/>
      <c r="I291" s="13"/>
      <c r="J291" s="13"/>
      <c r="K291" s="13"/>
      <c r="L291" s="13"/>
      <c r="M291" s="5"/>
      <c r="N291" s="5"/>
      <c r="O291" s="5"/>
      <c r="P291" s="5"/>
      <c r="Q291" s="5"/>
      <c r="R291" s="5"/>
      <c r="S291" s="5"/>
    </row>
    <row r="292" spans="1:19">
      <c r="A292" s="33" t="s">
        <v>6</v>
      </c>
      <c r="B292" s="29" t="s">
        <v>315</v>
      </c>
      <c r="C292" s="32"/>
      <c r="D292" s="29" t="s">
        <v>315</v>
      </c>
      <c r="E292" s="29"/>
      <c r="F292" s="29" t="s">
        <v>315</v>
      </c>
      <c r="G292" s="29"/>
      <c r="H292" s="29"/>
      <c r="I292" s="29"/>
      <c r="J292" s="29">
        <v>20419</v>
      </c>
      <c r="K292" s="32" t="s">
        <v>316</v>
      </c>
      <c r="L292" s="13">
        <f>SUM(B292:J293)</f>
        <v>61481</v>
      </c>
      <c r="M292" s="5"/>
      <c r="N292" s="5"/>
      <c r="O292" s="5"/>
      <c r="P292" s="5"/>
      <c r="Q292" s="5"/>
      <c r="R292" s="5"/>
      <c r="S292" s="5"/>
    </row>
    <row r="293" spans="1:19">
      <c r="A293" s="30"/>
      <c r="B293" s="30">
        <v>36287</v>
      </c>
      <c r="C293" s="30"/>
      <c r="D293" s="30">
        <v>2279</v>
      </c>
      <c r="E293" s="30"/>
      <c r="F293" s="30">
        <v>2496</v>
      </c>
      <c r="G293" s="30"/>
      <c r="H293" s="30"/>
      <c r="I293" s="30"/>
      <c r="J293" s="30"/>
      <c r="K293" s="30"/>
      <c r="L293" s="13"/>
      <c r="M293" s="5"/>
      <c r="N293" s="5"/>
      <c r="O293" s="5"/>
      <c r="P293" s="5"/>
      <c r="Q293" s="5"/>
      <c r="R293" s="5"/>
      <c r="S293" s="5"/>
    </row>
    <row r="294" spans="1:19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5"/>
      <c r="N294" s="5"/>
      <c r="O294" s="5"/>
      <c r="P294" s="5"/>
      <c r="Q294" s="5"/>
      <c r="R294" s="5"/>
      <c r="S294" s="5"/>
    </row>
    <row r="295" spans="1:19">
      <c r="A295" s="14" t="s">
        <v>13</v>
      </c>
      <c r="B295" s="15" t="s">
        <v>361</v>
      </c>
      <c r="C295" s="15" t="s">
        <v>1024</v>
      </c>
      <c r="D295" s="15" t="s">
        <v>361</v>
      </c>
      <c r="E295" s="15" t="s">
        <v>1024</v>
      </c>
      <c r="F295" s="15" t="s">
        <v>361</v>
      </c>
      <c r="G295" s="15"/>
      <c r="H295" s="15"/>
      <c r="I295" s="15"/>
      <c r="J295" s="15">
        <v>6202</v>
      </c>
      <c r="K295" s="12" t="s">
        <v>362</v>
      </c>
      <c r="L295" s="13">
        <f>SUM(B295:J296)</f>
        <v>60205</v>
      </c>
      <c r="M295" s="5"/>
      <c r="N295" s="5"/>
      <c r="O295" s="5"/>
      <c r="P295" s="5"/>
      <c r="Q295" s="5"/>
      <c r="R295" s="5"/>
      <c r="S295" s="5"/>
    </row>
    <row r="296" spans="1:19">
      <c r="A296" s="13"/>
      <c r="B296" s="13">
        <v>27408</v>
      </c>
      <c r="C296" s="13">
        <v>22386</v>
      </c>
      <c r="D296" s="13">
        <v>826</v>
      </c>
      <c r="E296" s="13">
        <v>2223</v>
      </c>
      <c r="F296" s="13">
        <v>1160</v>
      </c>
      <c r="G296" s="13"/>
      <c r="H296" s="13"/>
      <c r="I296" s="13"/>
      <c r="J296" s="13"/>
      <c r="K296" s="13"/>
      <c r="L296" s="13"/>
      <c r="M296" s="5"/>
      <c r="N296" s="5"/>
      <c r="O296" s="5"/>
      <c r="P296" s="5"/>
      <c r="Q296" s="5"/>
      <c r="R296" s="5"/>
      <c r="S296" s="5"/>
    </row>
    <row r="297" spans="1:19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5"/>
      <c r="N297" s="5"/>
      <c r="O297" s="5"/>
      <c r="P297" s="5"/>
      <c r="Q297" s="5"/>
      <c r="R297" s="5"/>
      <c r="S297" s="5"/>
    </row>
    <row r="298" spans="1:19">
      <c r="A298" s="33" t="s">
        <v>22</v>
      </c>
      <c r="B298" s="29" t="s">
        <v>857</v>
      </c>
      <c r="C298" s="29" t="s">
        <v>858</v>
      </c>
      <c r="D298" s="29" t="s">
        <v>858</v>
      </c>
      <c r="E298" s="29" t="s">
        <v>858</v>
      </c>
      <c r="F298" s="29" t="s">
        <v>857</v>
      </c>
      <c r="G298" s="29"/>
      <c r="H298" s="29"/>
      <c r="I298" s="29"/>
      <c r="J298" s="30">
        <v>7155</v>
      </c>
      <c r="K298" s="32" t="s">
        <v>1025</v>
      </c>
      <c r="L298" s="13">
        <f>SUM(B298:J299)</f>
        <v>61636</v>
      </c>
      <c r="M298" s="5"/>
      <c r="N298" s="5"/>
      <c r="O298" s="5"/>
      <c r="P298" s="5"/>
      <c r="Q298" s="5"/>
      <c r="R298" s="5"/>
      <c r="S298" s="5"/>
    </row>
    <row r="299" spans="1:19">
      <c r="A299" s="30"/>
      <c r="B299" s="30">
        <v>22884</v>
      </c>
      <c r="C299" s="30">
        <v>24531</v>
      </c>
      <c r="D299" s="30">
        <v>1106</v>
      </c>
      <c r="E299" s="30">
        <v>3941</v>
      </c>
      <c r="F299" s="30">
        <v>2019</v>
      </c>
      <c r="G299" s="30"/>
      <c r="H299" s="30"/>
      <c r="I299" s="30"/>
      <c r="J299" s="30"/>
      <c r="K299" s="30"/>
      <c r="L299" s="13"/>
      <c r="M299" s="5"/>
      <c r="N299" s="5"/>
      <c r="O299" s="5"/>
      <c r="P299" s="5"/>
      <c r="Q299" s="5"/>
      <c r="R299" s="5"/>
      <c r="S299" s="5"/>
    </row>
    <row r="300" spans="1:19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5"/>
      <c r="N300" s="5"/>
      <c r="O300" s="5"/>
      <c r="P300" s="5"/>
      <c r="Q300" s="5"/>
      <c r="R300" s="5"/>
      <c r="S300" s="5"/>
    </row>
    <row r="301" spans="1:19">
      <c r="A301" s="14" t="s">
        <v>28</v>
      </c>
      <c r="B301" s="15" t="s">
        <v>230</v>
      </c>
      <c r="C301" s="12" t="s">
        <v>1026</v>
      </c>
      <c r="D301" s="12" t="s">
        <v>230</v>
      </c>
      <c r="E301" s="15" t="s">
        <v>1026</v>
      </c>
      <c r="F301" s="15"/>
      <c r="G301" s="15"/>
      <c r="H301" s="15"/>
      <c r="I301" s="15"/>
      <c r="J301" s="13">
        <v>5218</v>
      </c>
      <c r="K301" s="12" t="s">
        <v>173</v>
      </c>
      <c r="L301" s="13">
        <f>SUM(B301:J302)</f>
        <v>52750</v>
      </c>
      <c r="M301" s="5"/>
      <c r="N301" s="5"/>
      <c r="O301" s="5"/>
      <c r="P301" s="5"/>
      <c r="Q301" s="5"/>
      <c r="R301" s="5"/>
      <c r="S301" s="5"/>
    </row>
    <row r="302" spans="1:19">
      <c r="A302" s="13"/>
      <c r="B302" s="13">
        <v>30673</v>
      </c>
      <c r="C302" s="13">
        <v>12620</v>
      </c>
      <c r="D302" s="13">
        <v>1946</v>
      </c>
      <c r="E302" s="13">
        <v>2293</v>
      </c>
      <c r="F302" s="13"/>
      <c r="G302" s="13"/>
      <c r="H302" s="13"/>
      <c r="I302" s="13"/>
      <c r="J302" s="13"/>
      <c r="K302" s="13"/>
      <c r="L302" s="13"/>
      <c r="M302" s="5"/>
      <c r="N302" s="5"/>
      <c r="O302" s="5"/>
      <c r="P302" s="5"/>
      <c r="Q302" s="5"/>
      <c r="R302" s="5"/>
      <c r="S302" s="5"/>
    </row>
    <row r="303" spans="1:19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5"/>
      <c r="N303" s="5"/>
      <c r="O303" s="5"/>
      <c r="P303" s="5"/>
      <c r="Q303" s="5"/>
      <c r="R303" s="5"/>
      <c r="S303" s="5"/>
    </row>
    <row r="304" spans="1:19">
      <c r="A304" s="33" t="s">
        <v>32</v>
      </c>
      <c r="B304" s="29" t="s">
        <v>248</v>
      </c>
      <c r="C304" s="32"/>
      <c r="D304" s="29" t="s">
        <v>248</v>
      </c>
      <c r="E304" s="32"/>
      <c r="F304" s="32" t="s">
        <v>248</v>
      </c>
      <c r="G304" s="32"/>
      <c r="H304" s="32"/>
      <c r="I304" s="29"/>
      <c r="J304" s="30">
        <v>17919</v>
      </c>
      <c r="K304" s="32" t="s">
        <v>283</v>
      </c>
      <c r="L304" s="13">
        <f>SUM(B304:J305)</f>
        <v>59445</v>
      </c>
      <c r="M304" s="5"/>
      <c r="N304" s="5"/>
      <c r="O304" s="5"/>
      <c r="P304" s="5"/>
      <c r="Q304" s="5"/>
      <c r="R304" s="5"/>
      <c r="S304" s="5"/>
    </row>
    <row r="305" spans="1:19">
      <c r="A305" s="30"/>
      <c r="B305" s="30">
        <v>35360</v>
      </c>
      <c r="C305" s="30"/>
      <c r="D305" s="30">
        <v>3027</v>
      </c>
      <c r="E305" s="30"/>
      <c r="F305" s="30">
        <v>3139</v>
      </c>
      <c r="G305" s="30"/>
      <c r="H305" s="30"/>
      <c r="I305" s="30"/>
      <c r="J305" s="30"/>
      <c r="K305" s="30" t="s">
        <v>33</v>
      </c>
      <c r="L305" s="13"/>
      <c r="M305" s="5"/>
      <c r="N305" s="5"/>
      <c r="O305" s="5"/>
      <c r="P305" s="5"/>
      <c r="Q305" s="5"/>
      <c r="R305" s="5"/>
      <c r="S305" s="5"/>
    </row>
    <row r="306" spans="1:19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5"/>
      <c r="N306" s="5"/>
      <c r="O306" s="5"/>
      <c r="P306" s="5"/>
      <c r="Q306" s="5"/>
      <c r="R306" s="5"/>
      <c r="S306" s="5"/>
    </row>
    <row r="307" spans="1:19">
      <c r="A307" s="14" t="s">
        <v>39</v>
      </c>
      <c r="B307" s="15" t="s">
        <v>267</v>
      </c>
      <c r="C307" s="12" t="s">
        <v>1027</v>
      </c>
      <c r="D307" s="12" t="s">
        <v>1027</v>
      </c>
      <c r="E307" s="15" t="s">
        <v>1027</v>
      </c>
      <c r="F307" s="15" t="s">
        <v>267</v>
      </c>
      <c r="G307" s="15"/>
      <c r="H307" s="15"/>
      <c r="I307" s="15"/>
      <c r="J307" s="13">
        <v>4838</v>
      </c>
      <c r="K307" s="12" t="s">
        <v>268</v>
      </c>
      <c r="L307" s="13">
        <f>SUM(B307:J308)</f>
        <v>50185</v>
      </c>
      <c r="M307" s="5"/>
      <c r="N307" s="5"/>
      <c r="O307" s="5"/>
      <c r="P307" s="5"/>
      <c r="Q307" s="5"/>
      <c r="R307" s="5"/>
      <c r="S307" s="5"/>
    </row>
    <row r="308" spans="1:19">
      <c r="A308" s="13"/>
      <c r="B308" s="13">
        <v>27920</v>
      </c>
      <c r="C308" s="13">
        <v>13486</v>
      </c>
      <c r="D308" s="13">
        <v>582</v>
      </c>
      <c r="E308" s="13">
        <v>1733</v>
      </c>
      <c r="F308" s="13">
        <v>1626</v>
      </c>
      <c r="G308" s="13"/>
      <c r="H308" s="13"/>
      <c r="I308" s="13"/>
      <c r="J308" s="13"/>
      <c r="K308" s="13"/>
      <c r="L308" s="13"/>
      <c r="M308" s="5"/>
      <c r="N308" s="5"/>
      <c r="O308" s="5"/>
      <c r="P308" s="5"/>
      <c r="Q308" s="5"/>
      <c r="R308" s="5"/>
      <c r="S308" s="5"/>
    </row>
    <row r="309" spans="1:19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5"/>
      <c r="N309" s="5"/>
      <c r="O309" s="5"/>
      <c r="P309" s="5"/>
      <c r="Q309" s="5"/>
      <c r="R309" s="5"/>
      <c r="S309" s="5"/>
    </row>
    <row r="310" spans="1:19">
      <c r="A310" s="33" t="s">
        <v>48</v>
      </c>
      <c r="B310" s="29" t="s">
        <v>1028</v>
      </c>
      <c r="C310" s="32" t="s">
        <v>1029</v>
      </c>
      <c r="D310" s="29" t="s">
        <v>1029</v>
      </c>
      <c r="E310" s="29" t="s">
        <v>1029</v>
      </c>
      <c r="F310" s="29" t="s">
        <v>1028</v>
      </c>
      <c r="G310" s="29"/>
      <c r="H310" s="29"/>
      <c r="I310" s="29"/>
      <c r="J310" s="30">
        <v>4237</v>
      </c>
      <c r="K310" s="32" t="s">
        <v>1030</v>
      </c>
      <c r="L310" s="13">
        <f>SUM(B310:J311)</f>
        <v>49325</v>
      </c>
      <c r="M310" s="5"/>
      <c r="N310" s="5"/>
      <c r="O310" s="5"/>
      <c r="P310" s="5"/>
      <c r="Q310" s="5"/>
      <c r="R310" s="5"/>
      <c r="S310" s="5"/>
    </row>
    <row r="311" spans="1:19">
      <c r="A311" s="30"/>
      <c r="B311" s="30">
        <v>18959</v>
      </c>
      <c r="C311" s="30">
        <v>20780</v>
      </c>
      <c r="D311" s="30">
        <v>1312</v>
      </c>
      <c r="E311" s="30">
        <v>2932</v>
      </c>
      <c r="F311" s="30">
        <v>1105</v>
      </c>
      <c r="G311" s="30"/>
      <c r="H311" s="30"/>
      <c r="I311" s="30"/>
      <c r="J311" s="30"/>
      <c r="K311" s="30"/>
      <c r="L311" s="13"/>
      <c r="M311" s="5"/>
      <c r="N311" s="5"/>
      <c r="O311" s="5"/>
      <c r="P311" s="5"/>
      <c r="Q311" s="5"/>
      <c r="R311" s="5"/>
      <c r="S311" s="5"/>
    </row>
    <row r="312" spans="1:19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5"/>
      <c r="N312" s="5"/>
      <c r="O312" s="5"/>
      <c r="P312" s="5"/>
      <c r="Q312" s="5"/>
      <c r="R312" s="5"/>
      <c r="S312" s="5"/>
    </row>
    <row r="313" spans="1:19">
      <c r="A313" s="14" t="s">
        <v>56</v>
      </c>
      <c r="B313" s="15" t="s">
        <v>363</v>
      </c>
      <c r="C313" s="12" t="s">
        <v>1031</v>
      </c>
      <c r="D313" s="12" t="s">
        <v>1031</v>
      </c>
      <c r="E313" s="12" t="s">
        <v>1031</v>
      </c>
      <c r="F313" s="12" t="s">
        <v>363</v>
      </c>
      <c r="G313" s="12"/>
      <c r="H313" s="12"/>
      <c r="I313" s="15"/>
      <c r="J313" s="13">
        <v>4665</v>
      </c>
      <c r="K313" s="12" t="s">
        <v>364</v>
      </c>
      <c r="L313" s="13">
        <f>SUM(B313:J314)</f>
        <v>56866</v>
      </c>
      <c r="M313" s="5"/>
      <c r="N313" s="5"/>
      <c r="O313" s="5"/>
      <c r="P313" s="5"/>
      <c r="Q313" s="5"/>
      <c r="R313" s="5"/>
      <c r="S313" s="5"/>
    </row>
    <row r="314" spans="1:19">
      <c r="A314" s="13"/>
      <c r="B314" s="13">
        <v>26325</v>
      </c>
      <c r="C314" s="13">
        <v>19032</v>
      </c>
      <c r="D314" s="13">
        <v>874</v>
      </c>
      <c r="E314" s="13">
        <v>3265</v>
      </c>
      <c r="F314" s="13">
        <v>2705</v>
      </c>
      <c r="G314" s="13"/>
      <c r="H314" s="13"/>
      <c r="I314" s="13"/>
      <c r="J314" s="13"/>
      <c r="K314" s="13"/>
      <c r="L314" s="13"/>
      <c r="M314" s="5"/>
      <c r="N314" s="5"/>
      <c r="O314" s="5"/>
      <c r="P314" s="5"/>
      <c r="Q314" s="5"/>
      <c r="R314" s="5"/>
      <c r="S314" s="5"/>
    </row>
    <row r="315" spans="1:19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5"/>
      <c r="N315" s="5"/>
      <c r="O315" s="5"/>
      <c r="P315" s="5"/>
      <c r="Q315" s="5"/>
      <c r="R315" s="5"/>
      <c r="S315" s="5"/>
    </row>
    <row r="316" spans="1:19">
      <c r="A316" s="33" t="s">
        <v>330</v>
      </c>
      <c r="B316" s="29" t="s">
        <v>241</v>
      </c>
      <c r="C316" s="32" t="s">
        <v>1032</v>
      </c>
      <c r="D316" s="32" t="s">
        <v>241</v>
      </c>
      <c r="E316" s="29" t="s">
        <v>1032</v>
      </c>
      <c r="F316" s="29" t="s">
        <v>241</v>
      </c>
      <c r="G316" s="29"/>
      <c r="H316" s="29"/>
      <c r="I316" s="29"/>
      <c r="J316" s="30">
        <v>3745</v>
      </c>
      <c r="K316" s="32" t="s">
        <v>242</v>
      </c>
      <c r="L316" s="13">
        <f>SUM(B316:J317)</f>
        <v>47572</v>
      </c>
      <c r="M316" s="5"/>
      <c r="N316" s="5"/>
      <c r="O316" s="5"/>
      <c r="P316" s="5"/>
      <c r="Q316" s="5"/>
      <c r="R316" s="5"/>
      <c r="S316" s="5"/>
    </row>
    <row r="317" spans="1:19">
      <c r="A317" s="30"/>
      <c r="B317" s="30">
        <v>27733</v>
      </c>
      <c r="C317" s="30">
        <v>10596</v>
      </c>
      <c r="D317" s="30">
        <v>1425</v>
      </c>
      <c r="E317" s="30">
        <v>1932</v>
      </c>
      <c r="F317" s="30">
        <v>2141</v>
      </c>
      <c r="G317" s="30"/>
      <c r="H317" s="30"/>
      <c r="I317" s="30"/>
      <c r="J317" s="30"/>
      <c r="K317" s="30"/>
      <c r="L317" s="13"/>
      <c r="M317" s="5"/>
      <c r="N317" s="5"/>
      <c r="O317" s="5"/>
      <c r="P317" s="5"/>
      <c r="Q317" s="5"/>
      <c r="R317" s="5"/>
      <c r="S317" s="5"/>
    </row>
    <row r="318" spans="1:19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5"/>
      <c r="N318" s="5"/>
      <c r="O318" s="5"/>
      <c r="P318" s="5"/>
      <c r="Q318" s="5"/>
      <c r="R318" s="5"/>
      <c r="S318" s="5"/>
    </row>
    <row r="319" spans="1:19">
      <c r="A319" s="14" t="s">
        <v>63</v>
      </c>
      <c r="B319" s="15" t="s">
        <v>1033</v>
      </c>
      <c r="C319" s="15" t="s">
        <v>865</v>
      </c>
      <c r="D319" s="15" t="s">
        <v>865</v>
      </c>
      <c r="E319" s="15" t="s">
        <v>865</v>
      </c>
      <c r="F319" s="15"/>
      <c r="G319" s="15"/>
      <c r="H319" s="15"/>
      <c r="I319" s="15"/>
      <c r="J319" s="13">
        <v>4938</v>
      </c>
      <c r="K319" s="12" t="s">
        <v>867</v>
      </c>
      <c r="L319" s="13">
        <f>SUM(B319:J320)</f>
        <v>54548</v>
      </c>
      <c r="M319" s="5"/>
      <c r="N319" s="5"/>
      <c r="O319" s="5"/>
      <c r="P319" s="5"/>
      <c r="Q319" s="5"/>
      <c r="R319" s="5"/>
      <c r="S319" s="5"/>
    </row>
    <row r="320" spans="1:19">
      <c r="A320" s="13"/>
      <c r="B320" s="13">
        <v>17543</v>
      </c>
      <c r="C320" s="13">
        <v>26714</v>
      </c>
      <c r="D320" s="13">
        <v>2203</v>
      </c>
      <c r="E320" s="13">
        <v>3150</v>
      </c>
      <c r="F320" s="13"/>
      <c r="G320" s="13"/>
      <c r="H320" s="13"/>
      <c r="I320" s="13"/>
      <c r="J320" s="13"/>
      <c r="K320" s="13"/>
      <c r="L320" s="13"/>
      <c r="M320" s="5"/>
      <c r="N320" s="5"/>
      <c r="O320" s="5"/>
      <c r="P320" s="5"/>
      <c r="Q320" s="5"/>
      <c r="R320" s="5"/>
      <c r="S320" s="5"/>
    </row>
    <row r="321" spans="1:19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5"/>
      <c r="N321" s="5"/>
      <c r="O321" s="5"/>
      <c r="P321" s="5"/>
      <c r="Q321" s="5"/>
      <c r="R321" s="5"/>
      <c r="S321" s="5"/>
    </row>
    <row r="322" spans="1:19">
      <c r="A322" s="33" t="s">
        <v>70</v>
      </c>
      <c r="B322" s="29" t="s">
        <v>231</v>
      </c>
      <c r="C322" s="32" t="s">
        <v>270</v>
      </c>
      <c r="D322" s="32" t="s">
        <v>270</v>
      </c>
      <c r="E322" s="32" t="s">
        <v>270</v>
      </c>
      <c r="F322" s="32"/>
      <c r="G322" s="32"/>
      <c r="H322" s="32"/>
      <c r="I322" s="29"/>
      <c r="J322" s="30">
        <v>4446</v>
      </c>
      <c r="K322" s="32" t="s">
        <v>271</v>
      </c>
      <c r="L322" s="13">
        <f>SUM(B322:J323)</f>
        <v>58040</v>
      </c>
      <c r="M322" s="5"/>
      <c r="N322" s="5"/>
      <c r="O322" s="5"/>
      <c r="P322" s="5"/>
      <c r="Q322" s="5"/>
      <c r="R322" s="5"/>
      <c r="S322" s="5"/>
    </row>
    <row r="323" spans="1:19">
      <c r="A323" s="30"/>
      <c r="B323" s="30">
        <v>18423</v>
      </c>
      <c r="C323" s="30">
        <v>28211</v>
      </c>
      <c r="D323" s="30">
        <v>2836</v>
      </c>
      <c r="E323" s="30">
        <v>4124</v>
      </c>
      <c r="F323" s="30"/>
      <c r="G323" s="30"/>
      <c r="H323" s="30"/>
      <c r="I323" s="30"/>
      <c r="J323" s="30"/>
      <c r="K323" s="30"/>
      <c r="L323" s="13"/>
      <c r="M323" s="5"/>
      <c r="N323" s="5"/>
      <c r="O323" s="5"/>
      <c r="P323" s="5"/>
      <c r="Q323" s="5"/>
      <c r="R323" s="5"/>
      <c r="S323" s="5"/>
    </row>
    <row r="324" spans="1:19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5"/>
      <c r="N324" s="5"/>
      <c r="O324" s="5"/>
      <c r="P324" s="5"/>
      <c r="Q324" s="5"/>
      <c r="R324" s="5"/>
      <c r="S324" s="5"/>
    </row>
    <row r="325" spans="1:19">
      <c r="A325" s="14" t="s">
        <v>78</v>
      </c>
      <c r="B325" s="15" t="s">
        <v>190</v>
      </c>
      <c r="C325" s="12"/>
      <c r="D325" s="12" t="s">
        <v>190</v>
      </c>
      <c r="E325" s="12"/>
      <c r="F325" s="12" t="s">
        <v>190</v>
      </c>
      <c r="G325" s="12"/>
      <c r="H325" s="12"/>
      <c r="I325" s="15"/>
      <c r="J325" s="13">
        <v>16660</v>
      </c>
      <c r="K325" s="12" t="s">
        <v>208</v>
      </c>
      <c r="L325" s="13">
        <f>SUM(B325:J326)</f>
        <v>63325</v>
      </c>
      <c r="M325" s="5"/>
      <c r="N325" s="5"/>
      <c r="O325" s="5"/>
      <c r="P325" s="5"/>
      <c r="Q325" s="5"/>
      <c r="R325" s="5"/>
      <c r="S325" s="5"/>
    </row>
    <row r="326" spans="1:19">
      <c r="A326" s="13"/>
      <c r="B326" s="13">
        <v>37220</v>
      </c>
      <c r="C326" s="13"/>
      <c r="D326" s="13">
        <v>4105</v>
      </c>
      <c r="E326" s="13"/>
      <c r="F326" s="13">
        <v>5340</v>
      </c>
      <c r="G326" s="13"/>
      <c r="H326" s="13"/>
      <c r="I326" s="13"/>
      <c r="J326" s="13"/>
      <c r="K326" s="13"/>
      <c r="L326" s="13"/>
      <c r="M326" s="5"/>
      <c r="N326" s="5"/>
      <c r="O326" s="5"/>
      <c r="P326" s="5"/>
      <c r="Q326" s="5"/>
      <c r="R326" s="5"/>
      <c r="S326" s="5"/>
    </row>
    <row r="327" spans="1:19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5"/>
      <c r="N327" s="5"/>
      <c r="O327" s="5"/>
      <c r="P327" s="5"/>
      <c r="Q327" s="5"/>
      <c r="R327" s="5"/>
      <c r="S327" s="5"/>
    </row>
    <row r="328" spans="1:19">
      <c r="A328" s="33" t="s">
        <v>84</v>
      </c>
      <c r="B328" s="29" t="s">
        <v>277</v>
      </c>
      <c r="C328" s="32" t="s">
        <v>1034</v>
      </c>
      <c r="D328" s="29"/>
      <c r="E328" s="29" t="s">
        <v>1034</v>
      </c>
      <c r="F328" s="29" t="s">
        <v>277</v>
      </c>
      <c r="G328" s="29"/>
      <c r="H328" s="29"/>
      <c r="I328" s="29"/>
      <c r="J328" s="30">
        <v>4227</v>
      </c>
      <c r="K328" s="32" t="s">
        <v>1035</v>
      </c>
      <c r="L328" s="13">
        <f>SUM(B328:J329)</f>
        <v>44186</v>
      </c>
      <c r="M328" s="5"/>
      <c r="N328" s="5"/>
      <c r="O328" s="5"/>
      <c r="P328" s="5"/>
      <c r="Q328" s="5"/>
      <c r="R328" s="5"/>
      <c r="S328" s="5"/>
    </row>
    <row r="329" spans="1:19">
      <c r="A329" s="30"/>
      <c r="B329" s="30">
        <v>24679</v>
      </c>
      <c r="C329" s="30">
        <v>10993</v>
      </c>
      <c r="D329" s="30"/>
      <c r="E329" s="30">
        <v>1979</v>
      </c>
      <c r="F329" s="30">
        <v>2308</v>
      </c>
      <c r="G329" s="30"/>
      <c r="H329" s="30"/>
      <c r="I329" s="30"/>
      <c r="J329" s="30"/>
      <c r="K329" s="30"/>
      <c r="L329" s="13"/>
      <c r="M329" s="5"/>
      <c r="N329" s="5"/>
      <c r="O329" s="5"/>
      <c r="P329" s="5"/>
      <c r="Q329" s="5"/>
      <c r="R329" s="5"/>
      <c r="S329" s="5"/>
    </row>
    <row r="330" spans="1:19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5"/>
      <c r="N330" s="5"/>
      <c r="O330" s="5"/>
      <c r="P330" s="5"/>
      <c r="Q330" s="5"/>
      <c r="R330" s="5"/>
      <c r="S330" s="5"/>
    </row>
    <row r="331" spans="1:19">
      <c r="A331" s="14" t="s">
        <v>89</v>
      </c>
      <c r="B331" s="15" t="s">
        <v>289</v>
      </c>
      <c r="C331" s="12" t="s">
        <v>365</v>
      </c>
      <c r="D331" s="12" t="s">
        <v>365</v>
      </c>
      <c r="E331" s="15" t="s">
        <v>365</v>
      </c>
      <c r="F331" s="15" t="s">
        <v>289</v>
      </c>
      <c r="G331" s="15" t="s">
        <v>289</v>
      </c>
      <c r="H331" s="15"/>
      <c r="I331" s="15"/>
      <c r="J331" s="13">
        <v>5910</v>
      </c>
      <c r="K331" s="12" t="s">
        <v>1036</v>
      </c>
      <c r="L331" s="13">
        <f>SUM(B331:J332)</f>
        <v>59130</v>
      </c>
      <c r="M331" s="5"/>
      <c r="N331" s="5"/>
      <c r="O331" s="5"/>
      <c r="P331" s="5"/>
      <c r="Q331" s="5"/>
      <c r="R331" s="5"/>
      <c r="S331" s="5"/>
    </row>
    <row r="332" spans="1:19">
      <c r="A332" s="13"/>
      <c r="B332" s="13">
        <v>21037</v>
      </c>
      <c r="C332" s="13">
        <v>23347</v>
      </c>
      <c r="D332" s="13">
        <v>1386</v>
      </c>
      <c r="E332" s="13">
        <v>4931</v>
      </c>
      <c r="F332" s="13">
        <v>1899</v>
      </c>
      <c r="G332" s="13">
        <v>620</v>
      </c>
      <c r="H332" s="13"/>
      <c r="I332" s="13"/>
      <c r="J332" s="13"/>
      <c r="K332" s="13"/>
      <c r="L332" s="13"/>
      <c r="M332" s="5"/>
      <c r="N332" s="5"/>
      <c r="O332" s="5"/>
      <c r="P332" s="5"/>
      <c r="Q332" s="5"/>
      <c r="R332" s="5"/>
      <c r="S332" s="5"/>
    </row>
    <row r="333" spans="1:19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</row>
    <row r="334" spans="1:19">
      <c r="A334" s="33" t="s">
        <v>96</v>
      </c>
      <c r="B334" s="29" t="s">
        <v>366</v>
      </c>
      <c r="C334" s="32" t="s">
        <v>534</v>
      </c>
      <c r="D334" s="32" t="s">
        <v>534</v>
      </c>
      <c r="E334" s="32" t="s">
        <v>534</v>
      </c>
      <c r="F334" s="32" t="s">
        <v>366</v>
      </c>
      <c r="G334" s="32"/>
      <c r="H334" s="32"/>
      <c r="I334" s="29"/>
      <c r="J334" s="30">
        <v>4419</v>
      </c>
      <c r="K334" s="32" t="s">
        <v>367</v>
      </c>
      <c r="L334" s="13">
        <f>SUM(B334:J335)</f>
        <v>56513</v>
      </c>
      <c r="M334" s="5"/>
      <c r="N334" s="5"/>
      <c r="O334" s="5"/>
      <c r="P334" s="5"/>
      <c r="Q334" s="5"/>
      <c r="R334" s="5"/>
      <c r="S334" s="5"/>
    </row>
    <row r="335" spans="1:19">
      <c r="A335" s="30"/>
      <c r="B335" s="30">
        <v>25729</v>
      </c>
      <c r="C335" s="30">
        <v>18809</v>
      </c>
      <c r="D335" s="30">
        <v>1410</v>
      </c>
      <c r="E335" s="30">
        <v>3578</v>
      </c>
      <c r="F335" s="30">
        <v>2568</v>
      </c>
      <c r="G335" s="30"/>
      <c r="H335" s="30"/>
      <c r="I335" s="30"/>
      <c r="J335" s="30"/>
      <c r="K335" s="30"/>
      <c r="L335" s="13"/>
      <c r="M335" s="5"/>
      <c r="N335" s="5"/>
      <c r="O335" s="5"/>
      <c r="P335" s="5"/>
      <c r="Q335" s="5"/>
      <c r="R335" s="5"/>
      <c r="S335" s="5"/>
    </row>
    <row r="336" spans="1:19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5"/>
      <c r="N336" s="5"/>
      <c r="O336" s="5"/>
      <c r="P336" s="5"/>
      <c r="Q336" s="5"/>
      <c r="R336" s="5"/>
      <c r="S336" s="5"/>
    </row>
    <row r="337" spans="1:19">
      <c r="A337" s="14" t="s">
        <v>99</v>
      </c>
      <c r="B337" s="15" t="s">
        <v>868</v>
      </c>
      <c r="C337" s="12" t="s">
        <v>278</v>
      </c>
      <c r="D337" s="12" t="s">
        <v>278</v>
      </c>
      <c r="E337" s="12" t="s">
        <v>278</v>
      </c>
      <c r="F337" s="12" t="s">
        <v>868</v>
      </c>
      <c r="G337" s="12"/>
      <c r="H337" s="12"/>
      <c r="I337" s="15"/>
      <c r="J337" s="13">
        <v>4726</v>
      </c>
      <c r="K337" s="12" t="s">
        <v>368</v>
      </c>
      <c r="L337" s="13">
        <f>SUM(B337:J338)</f>
        <v>63116</v>
      </c>
      <c r="M337" s="5"/>
      <c r="N337" s="5"/>
      <c r="O337" s="5"/>
      <c r="P337" s="5"/>
      <c r="Q337" s="5"/>
      <c r="R337" s="5"/>
      <c r="S337" s="5"/>
    </row>
    <row r="338" spans="1:19">
      <c r="A338" s="13"/>
      <c r="B338" s="13">
        <v>25338</v>
      </c>
      <c r="C338" s="13">
        <v>23934</v>
      </c>
      <c r="D338" s="13">
        <v>2348</v>
      </c>
      <c r="E338" s="13">
        <v>3968</v>
      </c>
      <c r="F338" s="13">
        <v>2802</v>
      </c>
      <c r="G338" s="13"/>
      <c r="H338" s="13"/>
      <c r="I338" s="13"/>
      <c r="J338" s="13"/>
      <c r="K338" s="13"/>
      <c r="L338" s="13"/>
      <c r="M338" s="5"/>
      <c r="N338" s="5"/>
      <c r="O338" s="5"/>
      <c r="P338" s="5"/>
      <c r="Q338" s="5"/>
      <c r="R338" s="5"/>
      <c r="S338" s="5"/>
    </row>
    <row r="339" spans="1:19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5"/>
      <c r="N339" s="5"/>
      <c r="O339" s="5"/>
      <c r="P339" s="5"/>
      <c r="Q339" s="5"/>
      <c r="R339" s="5"/>
      <c r="S339" s="5"/>
    </row>
    <row r="340" spans="1:19">
      <c r="A340" s="33" t="s">
        <v>111</v>
      </c>
      <c r="B340" s="29" t="s">
        <v>369</v>
      </c>
      <c r="C340" s="32" t="s">
        <v>278</v>
      </c>
      <c r="D340" s="32" t="s">
        <v>369</v>
      </c>
      <c r="E340" s="32"/>
      <c r="F340" s="32"/>
      <c r="G340" s="32"/>
      <c r="H340" s="32" t="s">
        <v>1080</v>
      </c>
      <c r="I340" s="29"/>
      <c r="J340" s="30">
        <v>8758</v>
      </c>
      <c r="K340" s="32" t="s">
        <v>370</v>
      </c>
      <c r="L340" s="13">
        <f>SUM(B340:J341)</f>
        <v>45718</v>
      </c>
      <c r="M340" s="5"/>
      <c r="N340" s="5"/>
      <c r="O340" s="5"/>
      <c r="P340" s="5"/>
      <c r="Q340" s="5"/>
      <c r="R340" s="5"/>
      <c r="S340" s="5"/>
    </row>
    <row r="341" spans="1:19">
      <c r="A341" s="30"/>
      <c r="B341" s="30">
        <v>25773</v>
      </c>
      <c r="C341" s="30">
        <v>7646</v>
      </c>
      <c r="D341" s="30">
        <v>2424</v>
      </c>
      <c r="E341" s="30"/>
      <c r="F341" s="30"/>
      <c r="G341" s="30"/>
      <c r="H341" s="30">
        <v>1117</v>
      </c>
      <c r="I341" s="30"/>
      <c r="J341" s="30"/>
      <c r="K341" s="30"/>
      <c r="L341" s="13"/>
      <c r="M341" s="5"/>
      <c r="N341" s="5"/>
      <c r="O341" s="5"/>
      <c r="P341" s="5"/>
      <c r="Q341" s="5"/>
      <c r="R341" s="5"/>
      <c r="S341" s="5"/>
    </row>
    <row r="342" spans="1:19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5"/>
      <c r="N342" s="5"/>
      <c r="O342" s="5"/>
      <c r="P342" s="5"/>
      <c r="Q342" s="5"/>
      <c r="R342" s="5"/>
      <c r="S342" s="5"/>
    </row>
    <row r="343" spans="1:19">
      <c r="A343" s="14" t="s">
        <v>119</v>
      </c>
      <c r="B343" s="15" t="s">
        <v>371</v>
      </c>
      <c r="C343" s="12" t="s">
        <v>1037</v>
      </c>
      <c r="D343" s="12" t="s">
        <v>1037</v>
      </c>
      <c r="E343" s="12" t="s">
        <v>529</v>
      </c>
      <c r="F343" s="12" t="s">
        <v>371</v>
      </c>
      <c r="G343" s="12"/>
      <c r="H343" s="12"/>
      <c r="I343" s="15"/>
      <c r="J343" s="13">
        <v>5022</v>
      </c>
      <c r="K343" s="12" t="s">
        <v>372</v>
      </c>
      <c r="L343" s="13">
        <f>SUM(B343:J344)</f>
        <v>64350</v>
      </c>
      <c r="M343" s="5"/>
      <c r="N343" s="5"/>
      <c r="O343" s="5"/>
      <c r="P343" s="5"/>
      <c r="Q343" s="5"/>
      <c r="R343" s="5"/>
      <c r="S343" s="5"/>
    </row>
    <row r="344" spans="1:19">
      <c r="A344" s="13"/>
      <c r="B344" s="13">
        <v>34988</v>
      </c>
      <c r="C344" s="13">
        <v>17357</v>
      </c>
      <c r="D344" s="13">
        <v>1962</v>
      </c>
      <c r="E344" s="13">
        <v>2043</v>
      </c>
      <c r="F344" s="13">
        <v>2978</v>
      </c>
      <c r="G344" s="13"/>
      <c r="H344" s="13"/>
      <c r="I344" s="13"/>
      <c r="J344" s="13"/>
      <c r="K344" s="13"/>
      <c r="L344" s="13"/>
      <c r="M344" s="5"/>
      <c r="N344" s="5"/>
      <c r="O344" s="5"/>
      <c r="P344" s="5"/>
      <c r="Q344" s="5"/>
      <c r="R344" s="5"/>
      <c r="S344" s="5"/>
    </row>
    <row r="345" spans="1:19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5"/>
      <c r="N345" s="5"/>
      <c r="O345" s="5"/>
      <c r="P345" s="5"/>
      <c r="Q345" s="5"/>
      <c r="R345" s="5"/>
      <c r="S345" s="5"/>
    </row>
    <row r="346" spans="1:19">
      <c r="A346" s="33" t="s">
        <v>127</v>
      </c>
      <c r="B346" s="29" t="s">
        <v>373</v>
      </c>
      <c r="C346" s="32" t="s">
        <v>1038</v>
      </c>
      <c r="D346" s="32" t="s">
        <v>1038</v>
      </c>
      <c r="E346" s="32" t="s">
        <v>1038</v>
      </c>
      <c r="F346" s="32" t="s">
        <v>373</v>
      </c>
      <c r="G346" s="32"/>
      <c r="H346" s="32"/>
      <c r="I346" s="29"/>
      <c r="J346" s="30">
        <v>4625</v>
      </c>
      <c r="K346" s="32" t="s">
        <v>374</v>
      </c>
      <c r="L346" s="13">
        <f>SUM(B346:J347)</f>
        <v>61777</v>
      </c>
      <c r="M346" s="5"/>
      <c r="N346" s="5"/>
      <c r="O346" s="5"/>
      <c r="P346" s="5"/>
      <c r="Q346" s="5"/>
      <c r="R346" s="5"/>
      <c r="S346" s="5"/>
    </row>
    <row r="347" spans="1:19">
      <c r="A347" s="30"/>
      <c r="B347" s="30">
        <v>30455</v>
      </c>
      <c r="C347" s="30">
        <v>20277</v>
      </c>
      <c r="D347" s="30">
        <v>1585</v>
      </c>
      <c r="E347" s="30">
        <v>2626</v>
      </c>
      <c r="F347" s="30">
        <v>2209</v>
      </c>
      <c r="G347" s="30"/>
      <c r="H347" s="30"/>
      <c r="I347" s="30"/>
      <c r="J347" s="30"/>
      <c r="K347" s="30"/>
      <c r="L347" s="13"/>
      <c r="M347" s="5"/>
      <c r="N347" s="5"/>
      <c r="O347" s="5"/>
      <c r="P347" s="5"/>
      <c r="Q347" s="5"/>
      <c r="R347" s="5"/>
      <c r="S347" s="5"/>
    </row>
    <row r="348" spans="1:19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5"/>
      <c r="N348" s="5"/>
      <c r="O348" s="5"/>
      <c r="P348" s="5"/>
      <c r="Q348" s="5"/>
      <c r="R348" s="5"/>
      <c r="S348" s="5"/>
    </row>
    <row r="349" spans="1:19">
      <c r="A349" s="14" t="s">
        <v>131</v>
      </c>
      <c r="B349" s="15" t="s">
        <v>317</v>
      </c>
      <c r="C349" s="12" t="s">
        <v>1039</v>
      </c>
      <c r="D349" s="12" t="s">
        <v>317</v>
      </c>
      <c r="E349" s="12" t="s">
        <v>1039</v>
      </c>
      <c r="F349" s="12" t="s">
        <v>317</v>
      </c>
      <c r="G349" s="12"/>
      <c r="H349" s="12"/>
      <c r="I349" s="12"/>
      <c r="J349" s="13">
        <v>4117</v>
      </c>
      <c r="K349" s="12" t="s">
        <v>375</v>
      </c>
      <c r="L349" s="13">
        <f>SUM(B349:J350)</f>
        <v>49136</v>
      </c>
      <c r="M349" s="5"/>
      <c r="N349" s="5"/>
      <c r="O349" s="5"/>
      <c r="P349" s="5"/>
      <c r="Q349" s="5"/>
      <c r="R349" s="5"/>
      <c r="S349" s="5"/>
    </row>
    <row r="350" spans="1:19">
      <c r="A350" s="13"/>
      <c r="B350" s="13">
        <v>23515</v>
      </c>
      <c r="C350" s="13">
        <v>14346</v>
      </c>
      <c r="D350" s="13">
        <v>1519</v>
      </c>
      <c r="E350" s="13">
        <v>3368</v>
      </c>
      <c r="F350" s="13">
        <v>2271</v>
      </c>
      <c r="G350" s="13"/>
      <c r="H350" s="13"/>
      <c r="I350" s="13"/>
      <c r="J350" s="13"/>
      <c r="K350" s="13"/>
      <c r="L350" s="13"/>
      <c r="M350" s="5"/>
      <c r="N350" s="5"/>
      <c r="O350" s="5"/>
      <c r="P350" s="5"/>
      <c r="Q350" s="5"/>
      <c r="R350" s="5"/>
      <c r="S350" s="5"/>
    </row>
    <row r="351" spans="1:19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5"/>
      <c r="N351" s="5"/>
      <c r="O351" s="5"/>
      <c r="P351" s="5"/>
      <c r="Q351" s="5"/>
      <c r="R351" s="5"/>
      <c r="S351" s="5"/>
    </row>
    <row r="352" spans="1:19">
      <c r="A352" s="33" t="s">
        <v>137</v>
      </c>
      <c r="B352" s="29" t="s">
        <v>1040</v>
      </c>
      <c r="C352" s="32" t="s">
        <v>878</v>
      </c>
      <c r="D352" s="32" t="s">
        <v>878</v>
      </c>
      <c r="E352" s="32" t="s">
        <v>878</v>
      </c>
      <c r="F352" s="32" t="s">
        <v>1040</v>
      </c>
      <c r="G352" s="32"/>
      <c r="H352" s="32"/>
      <c r="I352" s="32"/>
      <c r="J352" s="30">
        <v>4671</v>
      </c>
      <c r="K352" s="32" t="s">
        <v>880</v>
      </c>
      <c r="L352" s="13">
        <f>SUM(B352:J353)</f>
        <v>67742</v>
      </c>
      <c r="M352" s="5"/>
      <c r="N352" s="5"/>
      <c r="O352" s="5"/>
      <c r="P352" s="5"/>
      <c r="Q352" s="5"/>
      <c r="R352" s="5"/>
      <c r="S352" s="5"/>
    </row>
    <row r="353" spans="1:19">
      <c r="A353" s="30"/>
      <c r="B353" s="30">
        <v>18624</v>
      </c>
      <c r="C353" s="30">
        <v>35311</v>
      </c>
      <c r="D353" s="30">
        <v>2744</v>
      </c>
      <c r="E353" s="30">
        <v>4874</v>
      </c>
      <c r="F353" s="30">
        <v>1518</v>
      </c>
      <c r="G353" s="30"/>
      <c r="H353" s="30"/>
      <c r="I353" s="30"/>
      <c r="J353" s="30"/>
      <c r="K353" s="30"/>
      <c r="L353" s="13"/>
      <c r="M353" s="5"/>
      <c r="N353" s="5"/>
      <c r="O353" s="5"/>
      <c r="P353" s="5"/>
      <c r="Q353" s="5"/>
      <c r="R353" s="5"/>
      <c r="S353" s="5"/>
    </row>
    <row r="354" spans="1:19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5"/>
      <c r="N354" s="5"/>
      <c r="O354" s="5"/>
      <c r="P354" s="5"/>
      <c r="Q354" s="5"/>
      <c r="R354" s="5"/>
      <c r="S354" s="5"/>
    </row>
    <row r="355" spans="1:19">
      <c r="A355" s="14" t="s">
        <v>146</v>
      </c>
      <c r="B355" s="15" t="s">
        <v>376</v>
      </c>
      <c r="C355" s="12" t="s">
        <v>1041</v>
      </c>
      <c r="D355" s="12" t="s">
        <v>1041</v>
      </c>
      <c r="E355" s="12" t="s">
        <v>1041</v>
      </c>
      <c r="F355" s="12" t="s">
        <v>376</v>
      </c>
      <c r="G355" s="12"/>
      <c r="H355" s="12"/>
      <c r="I355" s="15"/>
      <c r="J355" s="13">
        <v>5235</v>
      </c>
      <c r="K355" s="12" t="s">
        <v>1042</v>
      </c>
      <c r="L355" s="13">
        <f>SUM(B355:J356)</f>
        <v>59468</v>
      </c>
      <c r="M355" s="5"/>
      <c r="N355" s="5"/>
      <c r="O355" s="5"/>
      <c r="P355" s="5"/>
      <c r="Q355" s="5"/>
      <c r="R355" s="5"/>
      <c r="S355" s="5"/>
    </row>
    <row r="356" spans="1:19">
      <c r="A356" s="13"/>
      <c r="B356" s="13">
        <v>23629</v>
      </c>
      <c r="C356" s="13">
        <v>23801</v>
      </c>
      <c r="D356" s="13">
        <v>1620</v>
      </c>
      <c r="E356" s="13">
        <v>3212</v>
      </c>
      <c r="F356" s="13">
        <v>1971</v>
      </c>
      <c r="G356" s="13"/>
      <c r="H356" s="13"/>
      <c r="I356" s="13"/>
      <c r="J356" s="13"/>
      <c r="K356" s="13"/>
      <c r="L356" s="13"/>
      <c r="M356" s="5"/>
      <c r="N356" s="5"/>
      <c r="O356" s="5"/>
      <c r="P356" s="5"/>
      <c r="Q356" s="5"/>
      <c r="R356" s="5"/>
      <c r="S356" s="5"/>
    </row>
    <row r="357" spans="1:19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5"/>
      <c r="N357" s="5"/>
      <c r="O357" s="5"/>
      <c r="P357" s="5"/>
      <c r="Q357" s="5"/>
      <c r="R357" s="5"/>
      <c r="S357" s="5"/>
    </row>
    <row r="358" spans="1:19">
      <c r="A358" s="33" t="s">
        <v>151</v>
      </c>
      <c r="B358" s="29" t="s">
        <v>1043</v>
      </c>
      <c r="C358" s="32" t="s">
        <v>377</v>
      </c>
      <c r="D358" s="32" t="s">
        <v>377</v>
      </c>
      <c r="E358" s="32" t="s">
        <v>377</v>
      </c>
      <c r="F358" s="32" t="s">
        <v>1043</v>
      </c>
      <c r="G358" s="32"/>
      <c r="H358" s="32"/>
      <c r="I358" s="29"/>
      <c r="J358" s="30">
        <v>5756</v>
      </c>
      <c r="K358" s="32" t="s">
        <v>378</v>
      </c>
      <c r="L358" s="13">
        <f>SUM(B358:J359)</f>
        <v>57750</v>
      </c>
      <c r="M358" s="5"/>
      <c r="N358" s="5"/>
      <c r="O358" s="5"/>
      <c r="P358" s="5"/>
      <c r="Q358" s="5"/>
      <c r="R358" s="5"/>
      <c r="S358" s="5"/>
    </row>
    <row r="359" spans="1:19">
      <c r="A359" s="30"/>
      <c r="B359" s="30">
        <v>21109</v>
      </c>
      <c r="C359" s="30">
        <v>24697</v>
      </c>
      <c r="D359" s="30">
        <v>1533</v>
      </c>
      <c r="E359" s="30">
        <v>2720</v>
      </c>
      <c r="F359" s="30">
        <v>1935</v>
      </c>
      <c r="G359" s="30"/>
      <c r="H359" s="30"/>
      <c r="I359" s="30"/>
      <c r="J359" s="30"/>
      <c r="K359" s="30"/>
      <c r="L359" s="13"/>
      <c r="M359" s="5"/>
      <c r="N359" s="5"/>
      <c r="O359" s="5"/>
      <c r="P359" s="5"/>
      <c r="Q359" s="5"/>
      <c r="R359" s="5"/>
      <c r="S359" s="5"/>
    </row>
    <row r="360" spans="1:19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5"/>
      <c r="N360" s="5"/>
      <c r="O360" s="5"/>
      <c r="P360" s="5"/>
      <c r="Q360" s="5"/>
      <c r="R360" s="5"/>
      <c r="S360" s="5"/>
    </row>
    <row r="361" spans="1:19">
      <c r="A361" s="14" t="s">
        <v>157</v>
      </c>
      <c r="B361" s="15" t="s">
        <v>1044</v>
      </c>
      <c r="C361" s="12" t="s">
        <v>882</v>
      </c>
      <c r="D361" s="12" t="s">
        <v>882</v>
      </c>
      <c r="E361" s="12" t="s">
        <v>883</v>
      </c>
      <c r="F361" s="12"/>
      <c r="G361" s="12"/>
      <c r="H361" s="12"/>
      <c r="I361" s="12"/>
      <c r="J361" s="13">
        <v>2958</v>
      </c>
      <c r="K361" s="12" t="s">
        <v>884</v>
      </c>
      <c r="L361" s="13">
        <f>SUM(B361:J362)</f>
        <v>48791</v>
      </c>
      <c r="M361" s="5"/>
      <c r="N361" s="5"/>
      <c r="O361" s="5"/>
      <c r="P361" s="5"/>
      <c r="Q361" s="5"/>
      <c r="R361" s="5"/>
      <c r="S361" s="5"/>
    </row>
    <row r="362" spans="1:19">
      <c r="A362" s="13"/>
      <c r="B362" s="13">
        <v>11971</v>
      </c>
      <c r="C362" s="13">
        <v>21246</v>
      </c>
      <c r="D362" s="13">
        <v>3040</v>
      </c>
      <c r="E362" s="13">
        <v>9576</v>
      </c>
      <c r="F362" s="13"/>
      <c r="G362" s="13"/>
      <c r="H362" s="13"/>
      <c r="I362" s="13"/>
      <c r="J362" s="13"/>
      <c r="K362" s="13"/>
      <c r="L362" s="13"/>
      <c r="M362" s="5"/>
      <c r="N362" s="5"/>
      <c r="O362" s="5"/>
      <c r="P362" s="5"/>
      <c r="Q362" s="5"/>
      <c r="R362" s="5"/>
      <c r="S362" s="5"/>
    </row>
    <row r="363" spans="1:19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5"/>
      <c r="N363" s="5"/>
      <c r="O363" s="5"/>
      <c r="P363" s="5"/>
      <c r="Q363" s="5"/>
      <c r="R363" s="5"/>
      <c r="S363" s="5"/>
    </row>
    <row r="364" spans="1:19">
      <c r="A364" s="33" t="s">
        <v>165</v>
      </c>
      <c r="B364" s="29" t="s">
        <v>279</v>
      </c>
      <c r="C364" s="32"/>
      <c r="D364" s="32"/>
      <c r="E364" s="32"/>
      <c r="F364" s="32" t="s">
        <v>279</v>
      </c>
      <c r="G364" s="32"/>
      <c r="H364" s="32"/>
      <c r="I364" s="29"/>
      <c r="J364" s="30">
        <v>12686</v>
      </c>
      <c r="K364" s="32" t="s">
        <v>280</v>
      </c>
      <c r="L364" s="13">
        <f>SUM(B364:J365)</f>
        <v>46015</v>
      </c>
      <c r="M364" s="5"/>
      <c r="N364" s="5"/>
      <c r="O364" s="5"/>
      <c r="P364" s="5"/>
      <c r="Q364" s="5"/>
      <c r="R364" s="5"/>
      <c r="S364" s="5"/>
    </row>
    <row r="365" spans="1:19">
      <c r="A365" s="30"/>
      <c r="B365" s="30">
        <v>28018</v>
      </c>
      <c r="C365" s="30"/>
      <c r="D365" s="30"/>
      <c r="E365" s="30"/>
      <c r="F365" s="30">
        <v>5311</v>
      </c>
      <c r="G365" s="30"/>
      <c r="H365" s="30"/>
      <c r="I365" s="30"/>
      <c r="J365" s="30"/>
      <c r="K365" s="30"/>
      <c r="L365" s="13"/>
      <c r="M365" s="5"/>
      <c r="N365" s="5"/>
      <c r="O365" s="5"/>
      <c r="P365" s="5"/>
      <c r="Q365" s="5"/>
      <c r="R365" s="5"/>
      <c r="S365" s="5"/>
    </row>
    <row r="366" spans="1:19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5"/>
      <c r="N366" s="5"/>
      <c r="O366" s="5"/>
      <c r="P366" s="5"/>
      <c r="Q366" s="5"/>
      <c r="R366" s="5"/>
      <c r="S366" s="5"/>
    </row>
    <row r="367" spans="1:19">
      <c r="A367" s="14" t="s">
        <v>169</v>
      </c>
      <c r="B367" s="15" t="s">
        <v>318</v>
      </c>
      <c r="C367" s="12"/>
      <c r="D367" s="15" t="s">
        <v>318</v>
      </c>
      <c r="E367" s="15" t="s">
        <v>318</v>
      </c>
      <c r="F367" s="5"/>
      <c r="G367" s="5"/>
      <c r="H367" s="5"/>
      <c r="I367" s="12"/>
      <c r="J367" s="13">
        <v>11689</v>
      </c>
      <c r="K367" s="12" t="s">
        <v>379</v>
      </c>
      <c r="L367" s="13">
        <f>SUM(B367:J368)</f>
        <v>44681</v>
      </c>
      <c r="M367" s="5"/>
      <c r="N367" s="5"/>
      <c r="O367" s="5"/>
      <c r="P367" s="5"/>
      <c r="Q367" s="5"/>
      <c r="R367" s="5"/>
      <c r="S367" s="5"/>
    </row>
    <row r="368" spans="1:19">
      <c r="A368" s="13"/>
      <c r="B368" s="13">
        <v>25788</v>
      </c>
      <c r="C368" s="13"/>
      <c r="D368" s="13">
        <v>4054</v>
      </c>
      <c r="E368" s="13">
        <v>3150</v>
      </c>
      <c r="F368" s="5"/>
      <c r="G368" s="5"/>
      <c r="H368" s="5"/>
      <c r="I368" s="13"/>
      <c r="J368" s="13"/>
      <c r="K368" s="13"/>
      <c r="L368" s="13"/>
      <c r="M368" s="5"/>
      <c r="N368" s="5"/>
      <c r="O368" s="5"/>
      <c r="P368" s="5"/>
      <c r="Q368" s="5"/>
      <c r="R368" s="5"/>
      <c r="S368" s="5"/>
    </row>
    <row r="369" spans="1:19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5"/>
      <c r="N369" s="5"/>
      <c r="O369" s="5"/>
      <c r="P369" s="5"/>
      <c r="Q369" s="5"/>
      <c r="R369" s="5"/>
      <c r="S369" s="5"/>
    </row>
    <row r="370" spans="1:19">
      <c r="A370" s="33" t="s">
        <v>175</v>
      </c>
      <c r="B370" s="29" t="s">
        <v>1045</v>
      </c>
      <c r="C370" s="32" t="s">
        <v>233</v>
      </c>
      <c r="D370" s="32" t="s">
        <v>233</v>
      </c>
      <c r="E370" s="32" t="s">
        <v>233</v>
      </c>
      <c r="F370" s="32"/>
      <c r="G370" s="32"/>
      <c r="H370" s="32"/>
      <c r="I370" s="29"/>
      <c r="J370" s="30">
        <v>5138</v>
      </c>
      <c r="K370" s="32" t="s">
        <v>1046</v>
      </c>
      <c r="L370" s="13">
        <f>SUM(B370:J371)</f>
        <v>44326</v>
      </c>
      <c r="M370" s="5"/>
      <c r="N370" s="5"/>
      <c r="O370" s="5"/>
      <c r="P370" s="5"/>
      <c r="Q370" s="5"/>
      <c r="R370" s="5"/>
      <c r="S370" s="5"/>
    </row>
    <row r="371" spans="1:19">
      <c r="A371" s="30"/>
      <c r="B371" s="30">
        <v>12503</v>
      </c>
      <c r="C371" s="30">
        <v>22635</v>
      </c>
      <c r="D371" s="30">
        <v>1402</v>
      </c>
      <c r="E371" s="30">
        <v>2648</v>
      </c>
      <c r="F371" s="30"/>
      <c r="G371" s="30"/>
      <c r="H371" s="30"/>
      <c r="I371" s="30"/>
      <c r="J371" s="30"/>
      <c r="K371" s="30"/>
      <c r="L371" s="13"/>
      <c r="M371" s="5"/>
      <c r="N371" s="5"/>
      <c r="O371" s="5"/>
      <c r="P371" s="5"/>
      <c r="Q371" s="5"/>
      <c r="R371" s="5"/>
      <c r="S371" s="5"/>
    </row>
    <row r="372" spans="1:19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5"/>
      <c r="N372" s="5"/>
      <c r="O372" s="5"/>
      <c r="P372" s="5"/>
      <c r="Q372" s="5"/>
      <c r="R372" s="5"/>
      <c r="S372" s="5"/>
    </row>
    <row r="373" spans="1:19">
      <c r="A373" s="14" t="s">
        <v>178</v>
      </c>
      <c r="B373" s="15" t="s">
        <v>380</v>
      </c>
      <c r="C373" s="12"/>
      <c r="D373" s="12" t="s">
        <v>380</v>
      </c>
      <c r="E373" s="12"/>
      <c r="F373" s="12" t="s">
        <v>380</v>
      </c>
      <c r="G373" s="12"/>
      <c r="H373" s="12"/>
      <c r="I373" s="12"/>
      <c r="J373" s="13">
        <v>11795</v>
      </c>
      <c r="K373" s="12" t="s">
        <v>381</v>
      </c>
      <c r="L373" s="13">
        <f>SUM(B373:J374)</f>
        <v>44746</v>
      </c>
      <c r="M373" s="5"/>
      <c r="N373" s="5"/>
      <c r="O373" s="5"/>
      <c r="P373" s="5"/>
      <c r="Q373" s="5"/>
      <c r="R373" s="5"/>
      <c r="S373" s="5"/>
    </row>
    <row r="374" spans="1:19">
      <c r="A374" s="13"/>
      <c r="B374" s="13">
        <v>25580</v>
      </c>
      <c r="C374" s="13"/>
      <c r="D374" s="13">
        <v>4403</v>
      </c>
      <c r="E374" s="13"/>
      <c r="F374" s="13">
        <v>2968</v>
      </c>
      <c r="G374" s="13"/>
      <c r="H374" s="13"/>
      <c r="I374" s="13"/>
      <c r="J374" s="13"/>
      <c r="K374" s="13"/>
      <c r="L374" s="13"/>
      <c r="M374" s="5"/>
      <c r="N374" s="5"/>
      <c r="O374" s="5"/>
      <c r="P374" s="5"/>
      <c r="Q374" s="5"/>
      <c r="R374" s="5"/>
      <c r="S374" s="5"/>
    </row>
    <row r="375" spans="1:19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5"/>
      <c r="N375" s="5"/>
      <c r="O375" s="5"/>
      <c r="P375" s="5"/>
      <c r="Q375" s="5"/>
      <c r="R375" s="5"/>
      <c r="S375" s="5"/>
    </row>
    <row r="376" spans="1:19">
      <c r="A376" s="30" t="s">
        <v>180</v>
      </c>
      <c r="B376" s="29"/>
      <c r="C376" s="29" t="s">
        <v>234</v>
      </c>
      <c r="D376" s="29" t="s">
        <v>234</v>
      </c>
      <c r="E376" s="29" t="s">
        <v>234</v>
      </c>
      <c r="F376" s="29"/>
      <c r="G376" s="29"/>
      <c r="H376" s="29"/>
      <c r="I376" s="29"/>
      <c r="J376" s="30">
        <v>13213</v>
      </c>
      <c r="K376" s="32" t="s">
        <v>249</v>
      </c>
      <c r="L376" s="13">
        <f>SUM(B376:J377)</f>
        <v>52204</v>
      </c>
      <c r="M376" s="5"/>
      <c r="N376" s="5"/>
      <c r="O376" s="5"/>
      <c r="P376" s="5"/>
      <c r="Q376" s="5"/>
      <c r="R376" s="5"/>
      <c r="S376" s="5"/>
    </row>
    <row r="377" spans="1:19">
      <c r="A377" s="33"/>
      <c r="B377" s="30"/>
      <c r="C377" s="30">
        <v>29116</v>
      </c>
      <c r="D377" s="30">
        <v>5780</v>
      </c>
      <c r="E377" s="30">
        <v>4095</v>
      </c>
      <c r="F377" s="30"/>
      <c r="G377" s="30"/>
      <c r="H377" s="30"/>
      <c r="I377" s="30"/>
      <c r="J377" s="30"/>
      <c r="K377" s="30"/>
      <c r="L377" s="13"/>
      <c r="M377" s="5"/>
      <c r="N377" s="5"/>
      <c r="O377" s="5"/>
      <c r="P377" s="5"/>
      <c r="Q377" s="5"/>
      <c r="R377" s="5"/>
      <c r="S377" s="5"/>
    </row>
    <row r="378" spans="1:19">
      <c r="A378" s="14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5"/>
      <c r="N378" s="5"/>
      <c r="O378" s="5"/>
      <c r="P378" s="5"/>
      <c r="Q378" s="5"/>
      <c r="R378" s="5"/>
      <c r="S378" s="5"/>
    </row>
    <row r="379" spans="1:19">
      <c r="A379" s="13" t="s">
        <v>182</v>
      </c>
      <c r="B379" s="15" t="s">
        <v>382</v>
      </c>
      <c r="C379" s="12" t="s">
        <v>1047</v>
      </c>
      <c r="D379" s="12"/>
      <c r="E379" s="12" t="s">
        <v>1047</v>
      </c>
      <c r="F379" s="12"/>
      <c r="G379" s="12"/>
      <c r="H379" s="12"/>
      <c r="I379" s="15"/>
      <c r="J379" s="13">
        <v>3352</v>
      </c>
      <c r="K379" s="12" t="s">
        <v>132</v>
      </c>
      <c r="L379" s="13">
        <f>SUM(B379:J380)</f>
        <v>51105</v>
      </c>
      <c r="M379" s="5"/>
      <c r="N379" s="5"/>
      <c r="O379" s="5"/>
      <c r="P379" s="5"/>
      <c r="Q379" s="5"/>
      <c r="R379" s="5"/>
      <c r="S379" s="5"/>
    </row>
    <row r="380" spans="1:19">
      <c r="A380" s="13"/>
      <c r="B380" s="13">
        <v>29148</v>
      </c>
      <c r="C380" s="13">
        <v>15944</v>
      </c>
      <c r="D380" s="13"/>
      <c r="E380" s="13">
        <v>2661</v>
      </c>
      <c r="F380" s="13"/>
      <c r="G380" s="13"/>
      <c r="H380" s="13"/>
      <c r="I380" s="13"/>
      <c r="J380" s="13"/>
      <c r="K380" s="13"/>
      <c r="L380" s="13"/>
      <c r="M380" s="5"/>
      <c r="N380" s="5"/>
      <c r="O380" s="5"/>
      <c r="P380" s="5"/>
      <c r="Q380" s="5"/>
      <c r="R380" s="5"/>
      <c r="S380" s="5"/>
    </row>
    <row r="381" spans="1:19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5"/>
      <c r="N381" s="5"/>
      <c r="O381" s="5"/>
      <c r="P381" s="5"/>
      <c r="Q381" s="5"/>
      <c r="R381" s="5"/>
      <c r="S381" s="5"/>
    </row>
    <row r="382" spans="1:19">
      <c r="A382" s="33" t="s">
        <v>183</v>
      </c>
      <c r="B382" s="29"/>
      <c r="C382" s="32" t="s">
        <v>232</v>
      </c>
      <c r="D382" s="32"/>
      <c r="E382" s="32"/>
      <c r="F382" s="32"/>
      <c r="G382" s="32"/>
      <c r="H382" s="32"/>
      <c r="I382" s="29"/>
      <c r="J382" s="30">
        <v>16268</v>
      </c>
      <c r="K382" s="32" t="s">
        <v>240</v>
      </c>
      <c r="L382" s="13">
        <f>SUM(B382:J383)</f>
        <v>54598</v>
      </c>
      <c r="M382" s="5"/>
      <c r="N382" s="5"/>
      <c r="O382" s="5"/>
      <c r="P382" s="5"/>
      <c r="Q382" s="5"/>
      <c r="R382" s="5"/>
      <c r="S382" s="5"/>
    </row>
    <row r="383" spans="1:19">
      <c r="A383" s="30"/>
      <c r="B383" s="30"/>
      <c r="C383" s="30">
        <v>38330</v>
      </c>
      <c r="D383" s="30"/>
      <c r="E383" s="30"/>
      <c r="F383" s="30"/>
      <c r="G383" s="30"/>
      <c r="H383" s="30"/>
      <c r="I383" s="30"/>
      <c r="J383" s="30"/>
      <c r="K383" s="30"/>
      <c r="L383" s="13"/>
      <c r="M383" s="5"/>
      <c r="N383" s="5"/>
      <c r="O383" s="5"/>
      <c r="P383" s="5"/>
      <c r="Q383" s="5"/>
      <c r="R383" s="5"/>
      <c r="S383" s="5"/>
    </row>
    <row r="384" spans="1:19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5"/>
      <c r="N384" s="5"/>
      <c r="O384" s="5"/>
      <c r="P384" s="5"/>
      <c r="Q384" s="5"/>
      <c r="R384" s="5"/>
      <c r="S384" s="5"/>
    </row>
    <row r="385" spans="1:19">
      <c r="A385" s="13" t="s">
        <v>184</v>
      </c>
      <c r="B385" s="15" t="s">
        <v>237</v>
      </c>
      <c r="C385" s="15" t="s">
        <v>1048</v>
      </c>
      <c r="D385" s="15" t="s">
        <v>1048</v>
      </c>
      <c r="E385" s="15" t="s">
        <v>1048</v>
      </c>
      <c r="F385" s="15" t="s">
        <v>237</v>
      </c>
      <c r="G385" s="15"/>
      <c r="H385" s="15"/>
      <c r="I385" s="15"/>
      <c r="J385" s="13">
        <v>3382</v>
      </c>
      <c r="K385" s="12" t="s">
        <v>250</v>
      </c>
      <c r="L385" s="13">
        <f>SUM(B385:J386)</f>
        <v>52195</v>
      </c>
      <c r="M385" s="5"/>
      <c r="N385" s="5"/>
      <c r="O385" s="5"/>
      <c r="P385" s="5"/>
      <c r="Q385" s="5"/>
      <c r="R385" s="5"/>
      <c r="S385" s="5"/>
    </row>
    <row r="386" spans="1:19">
      <c r="A386" s="13"/>
      <c r="B386" s="13">
        <v>27845</v>
      </c>
      <c r="C386" s="13">
        <v>16227</v>
      </c>
      <c r="D386" s="13">
        <v>917</v>
      </c>
      <c r="E386" s="13">
        <v>1414</v>
      </c>
      <c r="F386" s="13">
        <v>2410</v>
      </c>
      <c r="G386" s="13"/>
      <c r="H386" s="13"/>
      <c r="I386" s="13"/>
      <c r="J386" s="13"/>
      <c r="K386" s="13"/>
      <c r="L386" s="13"/>
      <c r="M386" s="5"/>
      <c r="N386" s="5"/>
      <c r="O386" s="5"/>
      <c r="P386" s="5"/>
      <c r="Q386" s="5"/>
      <c r="R386" s="5"/>
      <c r="S386" s="5"/>
    </row>
    <row r="387" spans="1:19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5"/>
      <c r="N387" s="5"/>
      <c r="O387" s="5"/>
      <c r="P387" s="5"/>
      <c r="Q387" s="5"/>
      <c r="R387" s="5"/>
      <c r="S387" s="5"/>
    </row>
    <row r="388" spans="1:19">
      <c r="A388" s="30" t="s">
        <v>185</v>
      </c>
      <c r="B388" s="29"/>
      <c r="C388" s="29" t="s">
        <v>324</v>
      </c>
      <c r="D388" s="29" t="s">
        <v>324</v>
      </c>
      <c r="E388" s="29" t="s">
        <v>324</v>
      </c>
      <c r="F388" s="29"/>
      <c r="G388" s="29"/>
      <c r="H388" s="29"/>
      <c r="I388" s="29"/>
      <c r="J388" s="30">
        <v>17992</v>
      </c>
      <c r="K388" s="32" t="s">
        <v>325</v>
      </c>
      <c r="L388" s="13">
        <f>SUM(B388:J389)</f>
        <v>55781</v>
      </c>
      <c r="M388" s="5"/>
      <c r="N388" s="5"/>
      <c r="O388" s="5"/>
      <c r="P388" s="5"/>
      <c r="Q388" s="5"/>
      <c r="R388" s="5"/>
      <c r="S388" s="5"/>
    </row>
    <row r="389" spans="1:19">
      <c r="A389" s="30"/>
      <c r="B389" s="30"/>
      <c r="C389" s="30">
        <v>30814</v>
      </c>
      <c r="D389" s="30">
        <v>3848</v>
      </c>
      <c r="E389" s="30">
        <v>3127</v>
      </c>
      <c r="F389" s="30"/>
      <c r="G389" s="30"/>
      <c r="H389" s="30"/>
      <c r="I389" s="30"/>
      <c r="J389" s="30"/>
      <c r="K389" s="30"/>
      <c r="L389" s="13"/>
      <c r="M389" s="5"/>
      <c r="N389" s="5"/>
      <c r="O389" s="5"/>
      <c r="P389" s="5"/>
      <c r="Q389" s="5"/>
      <c r="R389" s="5"/>
      <c r="S389" s="5"/>
    </row>
    <row r="390" spans="1:19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5"/>
      <c r="N390" s="5"/>
      <c r="O390" s="5"/>
      <c r="P390" s="5"/>
      <c r="Q390" s="5"/>
      <c r="R390" s="5"/>
      <c r="S390" s="5"/>
    </row>
    <row r="391" spans="1:19">
      <c r="A391" s="14" t="s">
        <v>7</v>
      </c>
      <c r="B391" s="15" t="s">
        <v>235</v>
      </c>
      <c r="C391" s="15"/>
      <c r="D391" s="15"/>
      <c r="E391" s="15"/>
      <c r="F391" s="15" t="s">
        <v>235</v>
      </c>
      <c r="G391" s="15"/>
      <c r="H391" s="15"/>
      <c r="I391" s="15"/>
      <c r="J391" s="13">
        <v>14630</v>
      </c>
      <c r="K391" s="12" t="s">
        <v>236</v>
      </c>
      <c r="L391" s="13">
        <f>SUM(B391:J392)</f>
        <v>51526</v>
      </c>
      <c r="M391" s="5"/>
      <c r="N391" s="5"/>
      <c r="O391" s="5"/>
      <c r="P391" s="5"/>
      <c r="Q391" s="5"/>
      <c r="R391" s="5"/>
      <c r="S391" s="5"/>
    </row>
    <row r="392" spans="1:19">
      <c r="A392" s="13"/>
      <c r="B392" s="13">
        <v>30796</v>
      </c>
      <c r="C392" s="13"/>
      <c r="D392" s="13"/>
      <c r="E392" s="13"/>
      <c r="F392" s="13">
        <v>6100</v>
      </c>
      <c r="G392" s="13"/>
      <c r="H392" s="13"/>
      <c r="I392" s="13"/>
      <c r="J392" s="13"/>
      <c r="K392" s="13"/>
      <c r="L392" s="13"/>
      <c r="M392" s="5"/>
      <c r="N392" s="5"/>
      <c r="O392" s="5"/>
      <c r="P392" s="5"/>
      <c r="Q392" s="5"/>
      <c r="R392" s="5"/>
      <c r="S392" s="5"/>
    </row>
    <row r="393" spans="1:19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5"/>
      <c r="N393" s="5"/>
      <c r="O393" s="5"/>
      <c r="P393" s="5"/>
      <c r="Q393" s="5"/>
      <c r="R393" s="5"/>
      <c r="S393" s="5"/>
    </row>
    <row r="394" spans="1:19">
      <c r="A394" s="33" t="s">
        <v>9</v>
      </c>
      <c r="B394" s="29"/>
      <c r="C394" s="32" t="s">
        <v>209</v>
      </c>
      <c r="D394" s="32" t="s">
        <v>209</v>
      </c>
      <c r="E394" s="32" t="s">
        <v>209</v>
      </c>
      <c r="F394" s="32"/>
      <c r="G394" s="32"/>
      <c r="H394" s="32"/>
      <c r="I394" s="29"/>
      <c r="J394" s="30">
        <v>17520</v>
      </c>
      <c r="K394" s="32" t="s">
        <v>210</v>
      </c>
      <c r="L394" s="13">
        <f>SUM(B394:J395)</f>
        <v>61732</v>
      </c>
      <c r="M394" s="5"/>
      <c r="N394" s="5"/>
      <c r="O394" s="5"/>
      <c r="P394" s="5"/>
      <c r="Q394" s="5"/>
      <c r="R394" s="5"/>
      <c r="S394" s="5"/>
    </row>
    <row r="395" spans="1:19">
      <c r="A395" s="30"/>
      <c r="B395" s="30"/>
      <c r="C395" s="30">
        <v>32823</v>
      </c>
      <c r="D395" s="30">
        <v>6522</v>
      </c>
      <c r="E395" s="30">
        <v>4867</v>
      </c>
      <c r="F395" s="30"/>
      <c r="G395" s="30"/>
      <c r="H395" s="30"/>
      <c r="I395" s="30"/>
      <c r="J395" s="30"/>
      <c r="K395" s="30"/>
      <c r="L395" s="13"/>
      <c r="M395" s="5"/>
      <c r="N395" s="5"/>
      <c r="O395" s="5"/>
      <c r="P395" s="5"/>
      <c r="Q395" s="5"/>
      <c r="R395" s="5"/>
      <c r="S395" s="5"/>
    </row>
    <row r="396" spans="1:19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5"/>
      <c r="N396" s="5"/>
      <c r="O396" s="5"/>
      <c r="P396" s="5"/>
      <c r="Q396" s="5"/>
      <c r="R396" s="5"/>
      <c r="S396" s="5"/>
    </row>
    <row r="397" spans="1:19">
      <c r="A397" s="14" t="s">
        <v>15</v>
      </c>
      <c r="B397" s="15" t="s">
        <v>269</v>
      </c>
      <c r="C397" s="12" t="s">
        <v>231</v>
      </c>
      <c r="D397" s="12" t="s">
        <v>231</v>
      </c>
      <c r="E397" s="12" t="s">
        <v>231</v>
      </c>
      <c r="F397" s="12" t="s">
        <v>269</v>
      </c>
      <c r="G397" s="12"/>
      <c r="H397" s="12"/>
      <c r="I397" s="15"/>
      <c r="J397" s="13">
        <v>2873</v>
      </c>
      <c r="K397" s="12" t="s">
        <v>383</v>
      </c>
      <c r="L397" s="13">
        <f>SUM(B397:J398)</f>
        <v>65334</v>
      </c>
      <c r="M397" s="5"/>
      <c r="N397" s="5"/>
      <c r="O397" s="5"/>
      <c r="P397" s="5"/>
      <c r="Q397" s="5"/>
      <c r="R397" s="5"/>
      <c r="S397" s="5"/>
    </row>
    <row r="398" spans="1:19">
      <c r="A398" s="13"/>
      <c r="B398" s="13">
        <v>31513</v>
      </c>
      <c r="C398" s="13">
        <v>22808</v>
      </c>
      <c r="D398" s="13">
        <v>1742</v>
      </c>
      <c r="E398" s="13">
        <v>3541</v>
      </c>
      <c r="F398" s="13">
        <v>2857</v>
      </c>
      <c r="G398" s="13"/>
      <c r="H398" s="13"/>
      <c r="I398" s="13"/>
      <c r="J398" s="13"/>
      <c r="K398" s="13"/>
      <c r="L398" s="13"/>
      <c r="M398" s="5"/>
      <c r="N398" s="5"/>
      <c r="O398" s="5"/>
      <c r="P398" s="5"/>
      <c r="Q398" s="5"/>
      <c r="R398" s="5"/>
      <c r="S398" s="5"/>
    </row>
    <row r="399" spans="1:19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5"/>
      <c r="N399" s="5"/>
      <c r="O399" s="5"/>
      <c r="P399" s="5"/>
      <c r="Q399" s="5"/>
      <c r="R399" s="5"/>
      <c r="S399" s="5"/>
    </row>
    <row r="400" spans="1:19">
      <c r="A400" s="33" t="s">
        <v>17</v>
      </c>
      <c r="B400" s="29" t="s">
        <v>868</v>
      </c>
      <c r="C400" s="32" t="s">
        <v>889</v>
      </c>
      <c r="D400" s="29" t="s">
        <v>889</v>
      </c>
      <c r="E400" s="32"/>
      <c r="F400" s="32" t="s">
        <v>868</v>
      </c>
      <c r="G400" s="32"/>
      <c r="H400" s="32"/>
      <c r="I400" s="29"/>
      <c r="J400" s="30">
        <v>4629</v>
      </c>
      <c r="K400" s="32" t="s">
        <v>890</v>
      </c>
      <c r="L400" s="13">
        <f>SUM(B400:J401)</f>
        <v>55230</v>
      </c>
      <c r="M400" s="5"/>
      <c r="N400" s="5"/>
      <c r="O400" s="5"/>
      <c r="P400" s="5"/>
      <c r="Q400" s="5"/>
      <c r="R400" s="5"/>
      <c r="S400" s="5"/>
    </row>
    <row r="401" spans="1:19">
      <c r="A401" s="30"/>
      <c r="B401" s="30">
        <v>31277</v>
      </c>
      <c r="C401" s="30">
        <v>15202</v>
      </c>
      <c r="D401" s="30">
        <v>2501</v>
      </c>
      <c r="E401" s="30"/>
      <c r="F401" s="30">
        <v>1621</v>
      </c>
      <c r="G401" s="30"/>
      <c r="H401" s="30"/>
      <c r="I401" s="30"/>
      <c r="J401" s="30"/>
      <c r="K401" s="30"/>
      <c r="L401" s="13"/>
      <c r="M401" s="5"/>
      <c r="N401" s="5"/>
      <c r="O401" s="5"/>
      <c r="P401" s="5"/>
      <c r="Q401" s="5"/>
      <c r="R401" s="5"/>
      <c r="S401" s="5"/>
    </row>
    <row r="402" spans="1:19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5"/>
      <c r="N402" s="5"/>
      <c r="O402" s="5"/>
      <c r="P402" s="5"/>
      <c r="Q402" s="5"/>
      <c r="R402" s="5"/>
      <c r="S402" s="5"/>
    </row>
    <row r="403" spans="1:19">
      <c r="A403" s="14" t="s">
        <v>25</v>
      </c>
      <c r="B403" s="15" t="s">
        <v>191</v>
      </c>
      <c r="C403" s="12"/>
      <c r="D403" s="12" t="s">
        <v>191</v>
      </c>
      <c r="E403" s="12"/>
      <c r="F403" s="12" t="s">
        <v>191</v>
      </c>
      <c r="G403" s="12"/>
      <c r="H403" s="12"/>
      <c r="I403" s="15"/>
      <c r="J403" s="13">
        <v>9942</v>
      </c>
      <c r="K403" s="12" t="s">
        <v>192</v>
      </c>
      <c r="L403" s="13">
        <f>SUM(B403:J404)</f>
        <v>45716</v>
      </c>
      <c r="M403" s="5"/>
      <c r="N403" s="5"/>
      <c r="O403" s="5"/>
      <c r="P403" s="5"/>
      <c r="Q403" s="5"/>
      <c r="R403" s="5"/>
      <c r="S403" s="5"/>
    </row>
    <row r="404" spans="1:19">
      <c r="A404" s="13"/>
      <c r="B404" s="13">
        <v>29535</v>
      </c>
      <c r="C404" s="13"/>
      <c r="D404" s="13">
        <v>3058</v>
      </c>
      <c r="E404" s="13"/>
      <c r="F404" s="13">
        <v>3181</v>
      </c>
      <c r="G404" s="13"/>
      <c r="H404" s="13"/>
      <c r="I404" s="13"/>
      <c r="J404" s="13"/>
      <c r="K404" s="13"/>
      <c r="L404" s="13"/>
      <c r="M404" s="5"/>
      <c r="N404" s="5"/>
      <c r="O404" s="5"/>
      <c r="P404" s="5"/>
      <c r="Q404" s="5"/>
      <c r="R404" s="5"/>
      <c r="S404" s="5"/>
    </row>
    <row r="405" spans="1:19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5"/>
      <c r="N405" s="5"/>
      <c r="O405" s="5"/>
      <c r="P405" s="5"/>
      <c r="Q405" s="5"/>
      <c r="R405" s="5"/>
      <c r="S405" s="5"/>
    </row>
    <row r="406" spans="1:19">
      <c r="A406" s="33" t="s">
        <v>31</v>
      </c>
      <c r="B406" s="29"/>
      <c r="C406" s="32" t="s">
        <v>251</v>
      </c>
      <c r="D406" s="32"/>
      <c r="E406" s="32" t="s">
        <v>251</v>
      </c>
      <c r="F406" s="32"/>
      <c r="G406" s="32"/>
      <c r="H406" s="32"/>
      <c r="I406" s="29"/>
      <c r="J406" s="30">
        <v>12802</v>
      </c>
      <c r="K406" s="32" t="s">
        <v>18</v>
      </c>
      <c r="L406" s="13">
        <f>SUM(B406:J407)</f>
        <v>53271</v>
      </c>
      <c r="M406" s="5"/>
      <c r="N406" s="5"/>
      <c r="O406" s="5"/>
      <c r="P406" s="5"/>
      <c r="Q406" s="5"/>
      <c r="R406" s="5"/>
      <c r="S406" s="5"/>
    </row>
    <row r="407" spans="1:19">
      <c r="A407" s="30"/>
      <c r="B407" s="30"/>
      <c r="C407" s="30">
        <v>32335</v>
      </c>
      <c r="D407" s="30"/>
      <c r="E407" s="30">
        <v>8134</v>
      </c>
      <c r="F407" s="30"/>
      <c r="G407" s="30"/>
      <c r="H407" s="30"/>
      <c r="I407" s="30"/>
      <c r="J407" s="30"/>
      <c r="K407" s="30"/>
      <c r="L407" s="13"/>
      <c r="M407" s="5"/>
      <c r="N407" s="5"/>
      <c r="O407" s="5"/>
      <c r="P407" s="5"/>
      <c r="Q407" s="5"/>
      <c r="R407" s="5"/>
      <c r="S407" s="5"/>
    </row>
    <row r="408" spans="1:19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5"/>
      <c r="N408" s="5"/>
      <c r="O408" s="5"/>
      <c r="P408" s="5"/>
      <c r="Q408" s="5"/>
      <c r="R408" s="5"/>
      <c r="S408" s="5"/>
    </row>
    <row r="409" spans="1:19">
      <c r="A409" s="14" t="s">
        <v>35</v>
      </c>
      <c r="B409" s="15"/>
      <c r="C409" s="12" t="s">
        <v>211</v>
      </c>
      <c r="D409" s="12" t="s">
        <v>211</v>
      </c>
      <c r="E409" s="12" t="s">
        <v>211</v>
      </c>
      <c r="F409" s="12"/>
      <c r="G409" s="12"/>
      <c r="H409" s="12"/>
      <c r="I409" s="15"/>
      <c r="J409" s="13">
        <v>13829</v>
      </c>
      <c r="K409" s="12" t="s">
        <v>212</v>
      </c>
      <c r="L409" s="13">
        <f>SUM(B409:J410)</f>
        <v>58042</v>
      </c>
      <c r="M409" s="5"/>
      <c r="N409" s="5"/>
      <c r="O409" s="5"/>
      <c r="P409" s="5"/>
      <c r="Q409" s="5"/>
      <c r="R409" s="5"/>
      <c r="S409" s="5"/>
    </row>
    <row r="410" spans="1:19">
      <c r="A410" s="13"/>
      <c r="B410" s="13"/>
      <c r="C410" s="13">
        <v>34037</v>
      </c>
      <c r="D410" s="13">
        <v>5193</v>
      </c>
      <c r="E410" s="13">
        <v>4983</v>
      </c>
      <c r="F410" s="13"/>
      <c r="G410" s="13"/>
      <c r="H410" s="13"/>
      <c r="I410" s="13"/>
      <c r="J410" s="13"/>
      <c r="K410" s="13"/>
      <c r="L410" s="13"/>
      <c r="M410" s="5"/>
      <c r="N410" s="5"/>
      <c r="O410" s="5"/>
      <c r="P410" s="5"/>
      <c r="Q410" s="5"/>
      <c r="R410" s="5"/>
      <c r="S410" s="5"/>
    </row>
    <row r="411" spans="1:19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</row>
    <row r="412" spans="1:19">
      <c r="A412" s="30" t="s">
        <v>44</v>
      </c>
      <c r="B412" s="29"/>
      <c r="C412" s="29" t="s">
        <v>323</v>
      </c>
      <c r="D412" s="29" t="s">
        <v>323</v>
      </c>
      <c r="E412" s="29" t="s">
        <v>323</v>
      </c>
      <c r="F412" s="29"/>
      <c r="G412" s="29"/>
      <c r="H412" s="29"/>
      <c r="I412" s="30"/>
      <c r="J412" s="30">
        <v>14533</v>
      </c>
      <c r="K412" s="29" t="s">
        <v>1049</v>
      </c>
      <c r="L412" s="13">
        <f>SUM(B412:J413)</f>
        <v>54113</v>
      </c>
      <c r="M412" s="13"/>
      <c r="N412" s="5"/>
      <c r="O412" s="5"/>
      <c r="P412" s="5"/>
      <c r="Q412" s="5"/>
      <c r="R412" s="5"/>
      <c r="S412" s="5"/>
    </row>
    <row r="413" spans="1:19">
      <c r="A413" s="30"/>
      <c r="B413" s="30"/>
      <c r="C413" s="30">
        <v>31331</v>
      </c>
      <c r="D413" s="30">
        <v>4532</v>
      </c>
      <c r="E413" s="30">
        <v>3717</v>
      </c>
      <c r="F413" s="30"/>
      <c r="G413" s="30"/>
      <c r="H413" s="30"/>
      <c r="I413" s="30"/>
      <c r="J413" s="30"/>
      <c r="K413" s="30"/>
      <c r="L413" s="13"/>
      <c r="M413" s="13"/>
      <c r="N413" s="5"/>
      <c r="O413" s="5"/>
      <c r="P413" s="5"/>
      <c r="Q413" s="5"/>
      <c r="R413" s="5"/>
      <c r="S413" s="5"/>
    </row>
    <row r="414" spans="1:19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5"/>
      <c r="O414" s="5"/>
      <c r="P414" s="5"/>
      <c r="Q414" s="5"/>
      <c r="R414" s="5"/>
      <c r="S414" s="5"/>
    </row>
    <row r="415" spans="1:19">
      <c r="A415" s="13" t="s">
        <v>49</v>
      </c>
      <c r="B415" s="15" t="s">
        <v>1050</v>
      </c>
      <c r="C415" s="15" t="s">
        <v>892</v>
      </c>
      <c r="D415" s="15" t="s">
        <v>892</v>
      </c>
      <c r="E415" s="15" t="s">
        <v>747</v>
      </c>
      <c r="F415" s="15"/>
      <c r="G415" s="15"/>
      <c r="H415" s="15"/>
      <c r="I415" s="15"/>
      <c r="J415" s="13">
        <v>5937</v>
      </c>
      <c r="K415" s="15" t="s">
        <v>893</v>
      </c>
      <c r="L415" s="13">
        <f>SUM(B415:J416)</f>
        <v>61568</v>
      </c>
      <c r="M415" s="13"/>
      <c r="N415" s="5"/>
      <c r="O415" s="5"/>
      <c r="P415" s="5"/>
      <c r="Q415" s="5"/>
      <c r="R415" s="5"/>
      <c r="S415" s="5"/>
    </row>
    <row r="416" spans="1:19">
      <c r="A416" s="13"/>
      <c r="B416" s="13">
        <v>21165</v>
      </c>
      <c r="C416" s="13">
        <v>26883</v>
      </c>
      <c r="D416" s="13">
        <v>1673</v>
      </c>
      <c r="E416" s="13">
        <v>5910</v>
      </c>
      <c r="F416" s="13"/>
      <c r="G416" s="13"/>
      <c r="H416" s="13"/>
      <c r="I416" s="13"/>
      <c r="J416" s="13"/>
      <c r="K416" s="13"/>
      <c r="L416" s="13"/>
      <c r="M416" s="13"/>
      <c r="N416" s="5"/>
      <c r="O416" s="5"/>
      <c r="P416" s="5"/>
      <c r="Q416" s="5"/>
      <c r="R416" s="5"/>
      <c r="S416" s="5"/>
    </row>
    <row r="417" spans="1:19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5"/>
      <c r="O417" s="5"/>
      <c r="P417" s="5"/>
      <c r="Q417" s="5"/>
      <c r="R417" s="5"/>
      <c r="S417" s="5"/>
    </row>
    <row r="418" spans="1:19">
      <c r="A418" s="30" t="s">
        <v>57</v>
      </c>
      <c r="B418" s="29"/>
      <c r="C418" s="29" t="s">
        <v>1051</v>
      </c>
      <c r="D418" s="29" t="s">
        <v>1051</v>
      </c>
      <c r="E418" s="29" t="s">
        <v>1051</v>
      </c>
      <c r="F418" s="29"/>
      <c r="G418" s="29"/>
      <c r="H418" s="29"/>
      <c r="I418" s="29"/>
      <c r="J418" s="30">
        <v>16819</v>
      </c>
      <c r="K418" s="29" t="s">
        <v>1052</v>
      </c>
      <c r="L418" s="13">
        <f>SUM(B418:J419)</f>
        <v>62660</v>
      </c>
      <c r="M418" s="13"/>
      <c r="N418" s="5"/>
      <c r="O418" s="5"/>
      <c r="P418" s="5"/>
      <c r="Q418" s="5"/>
      <c r="R418" s="5"/>
      <c r="S418" s="5"/>
    </row>
    <row r="419" spans="1:19">
      <c r="A419" s="30"/>
      <c r="B419" s="30"/>
      <c r="C419" s="30">
        <v>34197</v>
      </c>
      <c r="D419" s="30">
        <v>4815</v>
      </c>
      <c r="E419" s="30">
        <v>6829</v>
      </c>
      <c r="F419" s="30"/>
      <c r="G419" s="30"/>
      <c r="H419" s="30"/>
      <c r="I419" s="30"/>
      <c r="J419" s="30"/>
      <c r="K419" s="30"/>
      <c r="L419" s="13"/>
      <c r="M419" s="13"/>
      <c r="N419" s="5"/>
      <c r="O419" s="5"/>
      <c r="P419" s="5"/>
      <c r="Q419" s="5"/>
      <c r="R419" s="5"/>
      <c r="S419" s="5"/>
    </row>
    <row r="420" spans="1:19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5"/>
      <c r="O420" s="5"/>
      <c r="P420" s="5"/>
      <c r="Q420" s="5"/>
      <c r="R420" s="5"/>
      <c r="S420" s="5"/>
    </row>
    <row r="421" spans="1:19">
      <c r="A421" s="13" t="s">
        <v>60</v>
      </c>
      <c r="B421" s="15" t="s">
        <v>1053</v>
      </c>
      <c r="C421" s="15" t="s">
        <v>321</v>
      </c>
      <c r="D421" s="15" t="s">
        <v>321</v>
      </c>
      <c r="E421" s="15" t="s">
        <v>321</v>
      </c>
      <c r="F421" s="15"/>
      <c r="G421" s="15"/>
      <c r="H421" s="15"/>
      <c r="I421" s="15"/>
      <c r="J421" s="13">
        <v>4192</v>
      </c>
      <c r="K421" s="15" t="s">
        <v>322</v>
      </c>
      <c r="L421" s="13">
        <f>SUM(B421:J422)</f>
        <v>72459</v>
      </c>
      <c r="M421" s="13"/>
      <c r="N421" s="5"/>
      <c r="O421" s="5"/>
      <c r="P421" s="5"/>
      <c r="Q421" s="5"/>
      <c r="R421" s="5"/>
      <c r="S421" s="5"/>
    </row>
    <row r="422" spans="1:19">
      <c r="A422" s="13"/>
      <c r="B422" s="13">
        <v>33399</v>
      </c>
      <c r="C422" s="13">
        <v>28535</v>
      </c>
      <c r="D422" s="13">
        <v>1627</v>
      </c>
      <c r="E422" s="13">
        <v>4706</v>
      </c>
      <c r="F422" s="13"/>
      <c r="G422" s="13"/>
      <c r="H422" s="13"/>
      <c r="I422" s="13"/>
      <c r="J422" s="13"/>
      <c r="K422" s="13"/>
      <c r="L422" s="13"/>
      <c r="M422" s="13"/>
      <c r="N422" s="5"/>
      <c r="O422" s="5"/>
      <c r="P422" s="5"/>
      <c r="Q422" s="5"/>
      <c r="R422" s="5"/>
      <c r="S422" s="5"/>
    </row>
    <row r="423" spans="1:19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5"/>
      <c r="O423" s="5"/>
      <c r="P423" s="5"/>
      <c r="Q423" s="5"/>
      <c r="R423" s="5"/>
      <c r="S423" s="5"/>
    </row>
    <row r="424" spans="1:19">
      <c r="A424" s="30" t="s">
        <v>66</v>
      </c>
      <c r="B424" s="29" t="s">
        <v>194</v>
      </c>
      <c r="C424" s="29"/>
      <c r="D424" s="29" t="s">
        <v>194</v>
      </c>
      <c r="E424" s="29"/>
      <c r="F424" s="29"/>
      <c r="G424" s="29"/>
      <c r="H424" s="29"/>
      <c r="I424" s="29"/>
      <c r="J424" s="30">
        <v>17153</v>
      </c>
      <c r="K424" s="29" t="s">
        <v>45</v>
      </c>
      <c r="L424" s="13">
        <f>SUM(B424:J425)</f>
        <v>61556</v>
      </c>
      <c r="M424" s="13"/>
      <c r="N424" s="5"/>
      <c r="O424" s="5"/>
      <c r="P424" s="5"/>
      <c r="Q424" s="5"/>
      <c r="R424" s="5"/>
      <c r="S424" s="5"/>
    </row>
    <row r="425" spans="1:19">
      <c r="A425" s="30"/>
      <c r="B425" s="30">
        <v>39488</v>
      </c>
      <c r="C425" s="30"/>
      <c r="D425" s="30">
        <v>4915</v>
      </c>
      <c r="E425" s="30"/>
      <c r="F425" s="30"/>
      <c r="G425" s="30"/>
      <c r="H425" s="30"/>
      <c r="I425" s="30"/>
      <c r="J425" s="30"/>
      <c r="K425" s="30"/>
      <c r="L425" s="13"/>
      <c r="M425" s="13"/>
      <c r="N425" s="5"/>
      <c r="O425" s="5"/>
      <c r="P425" s="5"/>
      <c r="Q425" s="5"/>
      <c r="R425" s="5"/>
      <c r="S425" s="5"/>
    </row>
    <row r="426" spans="1:19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5"/>
      <c r="O426" s="5"/>
      <c r="P426" s="5"/>
      <c r="Q426" s="5"/>
      <c r="R426" s="5"/>
      <c r="S426" s="5"/>
    </row>
    <row r="427" spans="1:19">
      <c r="A427" s="13" t="s">
        <v>74</v>
      </c>
      <c r="B427" s="15" t="s">
        <v>195</v>
      </c>
      <c r="C427" s="15"/>
      <c r="D427" s="15"/>
      <c r="E427" s="15"/>
      <c r="F427" s="15"/>
      <c r="G427" s="15" t="s">
        <v>1081</v>
      </c>
      <c r="H427" s="15"/>
      <c r="I427" s="15"/>
      <c r="J427" s="13">
        <v>8674</v>
      </c>
      <c r="K427" s="15" t="s">
        <v>50</v>
      </c>
      <c r="L427" s="13">
        <f>SUM(B427:J428)</f>
        <v>46253</v>
      </c>
      <c r="M427" s="13"/>
      <c r="N427" s="5"/>
      <c r="O427" s="5"/>
      <c r="P427" s="5"/>
      <c r="Q427" s="5"/>
      <c r="R427" s="5"/>
      <c r="S427" s="5"/>
    </row>
    <row r="428" spans="1:19">
      <c r="A428" s="13"/>
      <c r="B428" s="13">
        <v>33081</v>
      </c>
      <c r="C428" s="13"/>
      <c r="D428" s="13"/>
      <c r="E428" s="13"/>
      <c r="F428" s="13"/>
      <c r="G428" s="13">
        <v>4498</v>
      </c>
      <c r="H428" s="13"/>
      <c r="I428" s="13"/>
      <c r="J428" s="13"/>
      <c r="K428" s="13"/>
      <c r="L428" s="13"/>
      <c r="M428" s="13"/>
      <c r="N428" s="5"/>
      <c r="O428" s="5"/>
      <c r="P428" s="5"/>
      <c r="Q428" s="5"/>
      <c r="R428" s="5"/>
      <c r="S428" s="5"/>
    </row>
    <row r="429" spans="1:19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5"/>
      <c r="O429" s="5"/>
      <c r="P429" s="5"/>
      <c r="Q429" s="5"/>
      <c r="R429" s="5"/>
      <c r="S429" s="5"/>
    </row>
    <row r="430" spans="1:19">
      <c r="A430" s="30" t="s">
        <v>81</v>
      </c>
      <c r="B430" s="29" t="s">
        <v>319</v>
      </c>
      <c r="C430" s="29" t="s">
        <v>896</v>
      </c>
      <c r="D430" s="29" t="s">
        <v>319</v>
      </c>
      <c r="E430" s="29" t="s">
        <v>896</v>
      </c>
      <c r="F430" s="29" t="s">
        <v>319</v>
      </c>
      <c r="G430" s="29"/>
      <c r="H430" s="29"/>
      <c r="I430" s="29"/>
      <c r="J430" s="30">
        <v>5117</v>
      </c>
      <c r="K430" s="29" t="s">
        <v>320</v>
      </c>
      <c r="L430" s="13">
        <f>SUM(B430:J431)</f>
        <v>52074</v>
      </c>
      <c r="M430" s="13"/>
      <c r="N430" s="5"/>
      <c r="O430" s="5"/>
      <c r="P430" s="5"/>
      <c r="Q430" s="5"/>
      <c r="R430" s="5"/>
      <c r="S430" s="5"/>
    </row>
    <row r="431" spans="1:19">
      <c r="A431" s="30"/>
      <c r="B431" s="30">
        <v>26395</v>
      </c>
      <c r="C431" s="30">
        <v>14096</v>
      </c>
      <c r="D431" s="30">
        <v>1158</v>
      </c>
      <c r="E431" s="30">
        <v>3146</v>
      </c>
      <c r="F431" s="30">
        <v>2162</v>
      </c>
      <c r="G431" s="30"/>
      <c r="H431" s="30"/>
      <c r="I431" s="30"/>
      <c r="J431" s="30"/>
      <c r="K431" s="30"/>
      <c r="L431" s="13"/>
      <c r="M431" s="13"/>
      <c r="N431" s="5"/>
      <c r="O431" s="5"/>
      <c r="P431" s="5"/>
      <c r="Q431" s="5"/>
      <c r="R431" s="5"/>
      <c r="S431" s="5"/>
    </row>
    <row r="432" spans="1:19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5"/>
      <c r="O432" s="5"/>
      <c r="P432" s="5"/>
      <c r="Q432" s="5"/>
      <c r="R432" s="5"/>
      <c r="S432" s="5"/>
    </row>
    <row r="433" spans="1:19">
      <c r="A433" s="13" t="s">
        <v>86</v>
      </c>
      <c r="B433" s="15"/>
      <c r="C433" s="15" t="s">
        <v>254</v>
      </c>
      <c r="D433" s="15" t="s">
        <v>254</v>
      </c>
      <c r="E433" s="15" t="s">
        <v>254</v>
      </c>
      <c r="F433" s="15"/>
      <c r="G433" s="15"/>
      <c r="H433" s="15" t="s">
        <v>744</v>
      </c>
      <c r="I433" s="15"/>
      <c r="J433" s="13">
        <v>9610</v>
      </c>
      <c r="K433" s="15" t="s">
        <v>255</v>
      </c>
      <c r="L433" s="13">
        <f>SUM(B433:J434)</f>
        <v>52415</v>
      </c>
      <c r="M433" s="13"/>
      <c r="N433" s="5"/>
      <c r="O433" s="5"/>
      <c r="P433" s="5"/>
      <c r="Q433" s="5"/>
      <c r="R433" s="5"/>
      <c r="S433" s="5"/>
    </row>
    <row r="434" spans="1:19">
      <c r="A434" s="13"/>
      <c r="B434" s="13"/>
      <c r="C434" s="13">
        <v>31430</v>
      </c>
      <c r="D434" s="13">
        <v>2981</v>
      </c>
      <c r="E434" s="13">
        <v>5475</v>
      </c>
      <c r="F434" s="13"/>
      <c r="G434" s="13"/>
      <c r="H434" s="13">
        <v>2919</v>
      </c>
      <c r="I434" s="13"/>
      <c r="J434" s="13"/>
      <c r="K434" s="13"/>
      <c r="L434" s="13"/>
      <c r="M434" s="13"/>
      <c r="N434" s="5"/>
      <c r="O434" s="5"/>
      <c r="P434" s="5"/>
      <c r="Q434" s="5"/>
      <c r="R434" s="5"/>
      <c r="S434" s="5"/>
    </row>
    <row r="435" spans="1:19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5"/>
      <c r="O435" s="5"/>
      <c r="P435" s="5"/>
      <c r="Q435" s="5"/>
      <c r="R435" s="5"/>
      <c r="S435" s="5"/>
    </row>
    <row r="436" spans="1:19">
      <c r="A436" s="30" t="s">
        <v>284</v>
      </c>
      <c r="B436" s="29" t="s">
        <v>193</v>
      </c>
      <c r="C436" s="29" t="s">
        <v>1054</v>
      </c>
      <c r="D436" s="29" t="s">
        <v>193</v>
      </c>
      <c r="E436" s="29" t="s">
        <v>193</v>
      </c>
      <c r="F436" s="29" t="s">
        <v>1054</v>
      </c>
      <c r="G436" s="29"/>
      <c r="H436" s="29"/>
      <c r="I436" s="29"/>
      <c r="J436" s="30">
        <v>4327</v>
      </c>
      <c r="K436" s="29" t="s">
        <v>196</v>
      </c>
      <c r="L436" s="13">
        <f>SUM(B436:J437)</f>
        <v>57621</v>
      </c>
      <c r="M436" s="13"/>
      <c r="N436" s="5"/>
      <c r="O436" s="5"/>
      <c r="P436" s="5"/>
      <c r="Q436" s="5"/>
      <c r="R436" s="5"/>
      <c r="S436" s="5"/>
    </row>
    <row r="437" spans="1:19">
      <c r="A437" s="30"/>
      <c r="B437" s="30">
        <v>30877</v>
      </c>
      <c r="C437" s="30">
        <v>14224</v>
      </c>
      <c r="D437" s="30">
        <v>2017</v>
      </c>
      <c r="E437" s="30">
        <v>4259</v>
      </c>
      <c r="F437" s="30">
        <v>1917</v>
      </c>
      <c r="G437" s="30"/>
      <c r="H437" s="30"/>
      <c r="I437" s="30"/>
      <c r="J437" s="30"/>
      <c r="K437" s="30"/>
      <c r="L437" s="13"/>
      <c r="M437" s="13"/>
      <c r="N437" s="5"/>
      <c r="O437" s="5"/>
      <c r="P437" s="5"/>
      <c r="Q437" s="5"/>
      <c r="R437" s="5"/>
      <c r="S437" s="5"/>
    </row>
    <row r="438" spans="1:19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5"/>
      <c r="O438" s="5"/>
      <c r="P438" s="5"/>
      <c r="Q438" s="5"/>
      <c r="R438" s="5"/>
      <c r="S438" s="5"/>
    </row>
    <row r="439" spans="1:19">
      <c r="A439" s="13" t="s">
        <v>100</v>
      </c>
      <c r="B439" s="15" t="s">
        <v>1055</v>
      </c>
      <c r="C439" s="15" t="s">
        <v>1056</v>
      </c>
      <c r="D439" s="15" t="s">
        <v>1056</v>
      </c>
      <c r="E439" s="15"/>
      <c r="F439" s="15" t="s">
        <v>1055</v>
      </c>
      <c r="G439" s="15"/>
      <c r="H439" s="15"/>
      <c r="I439" s="15"/>
      <c r="J439" s="13">
        <v>4438</v>
      </c>
      <c r="K439" s="15" t="s">
        <v>1057</v>
      </c>
      <c r="L439" s="13">
        <f>SUM(B439:J440)</f>
        <v>52448</v>
      </c>
      <c r="M439" s="13"/>
      <c r="N439" s="5"/>
      <c r="O439" s="5"/>
      <c r="P439" s="5"/>
      <c r="Q439" s="5"/>
      <c r="R439" s="5"/>
      <c r="S439" s="5"/>
    </row>
    <row r="440" spans="1:19">
      <c r="A440" s="13"/>
      <c r="B440" s="13">
        <v>41342</v>
      </c>
      <c r="C440" s="13">
        <v>4173</v>
      </c>
      <c r="D440" s="13">
        <v>709</v>
      </c>
      <c r="E440" s="13"/>
      <c r="F440" s="13">
        <v>1786</v>
      </c>
      <c r="G440" s="13"/>
      <c r="H440" s="13"/>
      <c r="I440" s="13"/>
      <c r="J440" s="13"/>
      <c r="K440" s="13"/>
      <c r="L440" s="13"/>
      <c r="M440" s="13"/>
      <c r="N440" s="5"/>
      <c r="O440" s="5"/>
      <c r="P440" s="5"/>
      <c r="Q440" s="5"/>
      <c r="R440" s="5"/>
      <c r="S440" s="5"/>
    </row>
    <row r="441" spans="1:19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5"/>
      <c r="O441" s="5"/>
      <c r="P441" s="5"/>
      <c r="Q441" s="5"/>
      <c r="R441" s="5"/>
      <c r="S441" s="5"/>
    </row>
    <row r="442" spans="1:19">
      <c r="A442" s="30" t="s">
        <v>105</v>
      </c>
      <c r="B442" s="29" t="s">
        <v>384</v>
      </c>
      <c r="C442" s="29" t="s">
        <v>384</v>
      </c>
      <c r="D442" s="29"/>
      <c r="E442" s="29" t="s">
        <v>384</v>
      </c>
      <c r="F442" s="29" t="s">
        <v>384</v>
      </c>
      <c r="G442" s="29"/>
      <c r="H442" s="29"/>
      <c r="I442" s="29"/>
      <c r="J442" s="30">
        <v>7405</v>
      </c>
      <c r="K442" s="29" t="s">
        <v>385</v>
      </c>
      <c r="L442" s="13">
        <f>SUM(B442:J443)</f>
        <v>59820</v>
      </c>
      <c r="M442" s="13"/>
      <c r="N442" s="5"/>
      <c r="O442" s="5"/>
      <c r="P442" s="5"/>
      <c r="Q442" s="5"/>
      <c r="R442" s="5"/>
      <c r="S442" s="5"/>
    </row>
    <row r="443" spans="1:19">
      <c r="A443" s="30"/>
      <c r="B443" s="30">
        <v>30372</v>
      </c>
      <c r="C443" s="30">
        <v>15848</v>
      </c>
      <c r="D443" s="30"/>
      <c r="E443" s="30">
        <v>3440</v>
      </c>
      <c r="F443" s="30">
        <v>2755</v>
      </c>
      <c r="G443" s="30"/>
      <c r="H443" s="30"/>
      <c r="I443" s="30"/>
      <c r="J443" s="30"/>
      <c r="K443" s="30"/>
      <c r="L443" s="13"/>
      <c r="M443" s="13"/>
      <c r="N443" s="5"/>
      <c r="O443" s="5"/>
      <c r="P443" s="5"/>
      <c r="Q443" s="5"/>
      <c r="R443" s="5"/>
      <c r="S443" s="5"/>
    </row>
    <row r="444" spans="1:19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5"/>
      <c r="O444" s="5"/>
      <c r="P444" s="5"/>
      <c r="Q444" s="5"/>
      <c r="R444" s="5"/>
      <c r="S444" s="5"/>
    </row>
    <row r="445" spans="1:19">
      <c r="A445" s="13" t="s">
        <v>115</v>
      </c>
      <c r="B445" s="15" t="s">
        <v>1058</v>
      </c>
      <c r="C445" s="15" t="s">
        <v>1059</v>
      </c>
      <c r="D445" s="15" t="s">
        <v>1058</v>
      </c>
      <c r="E445" s="15" t="s">
        <v>1058</v>
      </c>
      <c r="F445" s="15"/>
      <c r="G445" s="15"/>
      <c r="H445" s="15"/>
      <c r="I445" s="15"/>
      <c r="J445" s="13">
        <v>5123</v>
      </c>
      <c r="K445" s="15" t="s">
        <v>1060</v>
      </c>
      <c r="L445" s="13">
        <f>SUM(B445:J446)</f>
        <v>59437</v>
      </c>
      <c r="M445" s="13"/>
      <c r="N445" s="5"/>
      <c r="O445" s="5"/>
      <c r="P445" s="5"/>
      <c r="Q445" s="5"/>
      <c r="R445" s="5"/>
      <c r="S445" s="5"/>
    </row>
    <row r="446" spans="1:19">
      <c r="A446" s="13"/>
      <c r="B446" s="13">
        <v>32372</v>
      </c>
      <c r="C446" s="13">
        <v>14802</v>
      </c>
      <c r="D446" s="13">
        <v>2577</v>
      </c>
      <c r="E446" s="13">
        <v>4563</v>
      </c>
      <c r="F446" s="13"/>
      <c r="G446" s="13"/>
      <c r="H446" s="13"/>
      <c r="I446" s="13"/>
      <c r="J446" s="13"/>
      <c r="K446" s="13"/>
      <c r="L446" s="13"/>
      <c r="M446" s="13"/>
      <c r="N446" s="5"/>
      <c r="O446" s="5"/>
      <c r="P446" s="5"/>
      <c r="Q446" s="5"/>
      <c r="R446" s="5"/>
      <c r="S446" s="5"/>
    </row>
    <row r="447" spans="1:19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5"/>
      <c r="O447" s="5"/>
      <c r="P447" s="5"/>
      <c r="Q447" s="5"/>
      <c r="R447" s="5"/>
      <c r="S447" s="5"/>
    </row>
    <row r="448" spans="1:19">
      <c r="A448" s="30" t="s">
        <v>123</v>
      </c>
      <c r="B448" s="29"/>
      <c r="C448" s="29" t="s">
        <v>904</v>
      </c>
      <c r="D448" s="29" t="s">
        <v>904</v>
      </c>
      <c r="E448" s="29" t="s">
        <v>904</v>
      </c>
      <c r="F448" s="29"/>
      <c r="G448" s="29"/>
      <c r="H448" s="29"/>
      <c r="I448" s="29"/>
      <c r="J448" s="30">
        <v>16314</v>
      </c>
      <c r="K448" s="29" t="s">
        <v>905</v>
      </c>
      <c r="L448" s="13">
        <f>SUM(B448:J449)</f>
        <v>60764</v>
      </c>
      <c r="M448" s="13"/>
      <c r="N448" s="5"/>
      <c r="O448" s="5"/>
      <c r="P448" s="5"/>
      <c r="Q448" s="5"/>
      <c r="R448" s="5"/>
      <c r="S448" s="5"/>
    </row>
    <row r="449" spans="1:19">
      <c r="A449" s="30"/>
      <c r="B449" s="30"/>
      <c r="C449" s="30">
        <v>33853</v>
      </c>
      <c r="D449" s="30">
        <v>5323</v>
      </c>
      <c r="E449" s="30">
        <v>5274</v>
      </c>
      <c r="F449" s="30"/>
      <c r="G449" s="30"/>
      <c r="H449" s="30"/>
      <c r="I449" s="30"/>
      <c r="J449" s="30"/>
      <c r="K449" s="30"/>
      <c r="L449" s="13"/>
      <c r="M449" s="13"/>
      <c r="N449" s="5"/>
      <c r="O449" s="5"/>
      <c r="P449" s="5"/>
      <c r="Q449" s="5"/>
      <c r="R449" s="5"/>
      <c r="S449" s="5"/>
    </row>
    <row r="450" spans="1:19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5"/>
      <c r="O450" s="5"/>
      <c r="P450" s="5"/>
      <c r="Q450" s="5"/>
      <c r="R450" s="5"/>
      <c r="S450" s="5"/>
    </row>
    <row r="451" spans="1:19">
      <c r="A451" s="13" t="s">
        <v>129</v>
      </c>
      <c r="B451" s="15" t="s">
        <v>1061</v>
      </c>
      <c r="C451" s="15" t="s">
        <v>326</v>
      </c>
      <c r="D451" s="15" t="s">
        <v>326</v>
      </c>
      <c r="E451" s="15" t="s">
        <v>326</v>
      </c>
      <c r="F451" s="15" t="s">
        <v>1061</v>
      </c>
      <c r="G451" s="15"/>
      <c r="H451" s="15"/>
      <c r="I451" s="15"/>
      <c r="J451" s="13">
        <v>4141</v>
      </c>
      <c r="K451" s="15" t="s">
        <v>906</v>
      </c>
      <c r="L451" s="13">
        <f>SUM(B451:J452)</f>
        <v>55053</v>
      </c>
      <c r="M451" s="13"/>
      <c r="N451" s="5"/>
      <c r="O451" s="5"/>
      <c r="P451" s="5"/>
      <c r="Q451" s="5"/>
      <c r="R451" s="5"/>
      <c r="S451" s="5"/>
    </row>
    <row r="452" spans="1:19">
      <c r="A452" s="13"/>
      <c r="B452" s="13">
        <v>22951</v>
      </c>
      <c r="C452" s="13">
        <v>21263</v>
      </c>
      <c r="D452" s="13">
        <v>1705</v>
      </c>
      <c r="E452" s="13">
        <v>2968</v>
      </c>
      <c r="F452" s="13">
        <v>2025</v>
      </c>
      <c r="G452" s="13"/>
      <c r="H452" s="13"/>
      <c r="I452" s="13"/>
      <c r="J452" s="13"/>
      <c r="K452" s="13"/>
      <c r="L452" s="13"/>
      <c r="M452" s="13"/>
      <c r="N452" s="5"/>
      <c r="O452" s="5"/>
      <c r="P452" s="5"/>
      <c r="Q452" s="5"/>
      <c r="R452" s="5"/>
      <c r="S452" s="5"/>
    </row>
    <row r="453" spans="1:19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5"/>
      <c r="O453" s="5"/>
      <c r="P453" s="5"/>
      <c r="Q453" s="5"/>
      <c r="R453" s="5"/>
      <c r="S453" s="5"/>
    </row>
    <row r="454" spans="1:19">
      <c r="A454" s="30" t="s">
        <v>135</v>
      </c>
      <c r="B454" s="29" t="s">
        <v>1062</v>
      </c>
      <c r="C454" s="29" t="s">
        <v>386</v>
      </c>
      <c r="D454" s="29" t="s">
        <v>386</v>
      </c>
      <c r="E454" s="29" t="s">
        <v>386</v>
      </c>
      <c r="F454" s="29"/>
      <c r="G454" s="29"/>
      <c r="H454" s="29"/>
      <c r="I454" s="29"/>
      <c r="J454" s="30">
        <v>5884</v>
      </c>
      <c r="K454" s="29" t="s">
        <v>387</v>
      </c>
      <c r="L454" s="13">
        <f>SUM(B454:J455)</f>
        <v>61988</v>
      </c>
      <c r="M454" s="13"/>
      <c r="N454" s="5"/>
      <c r="O454" s="5"/>
      <c r="P454" s="5"/>
      <c r="Q454" s="5"/>
      <c r="R454" s="5"/>
      <c r="S454" s="5"/>
    </row>
    <row r="455" spans="1:19">
      <c r="A455" s="30"/>
      <c r="B455" s="30">
        <v>25711</v>
      </c>
      <c r="C455" s="30">
        <v>25413</v>
      </c>
      <c r="D455" s="30">
        <v>1622</v>
      </c>
      <c r="E455" s="30">
        <v>3358</v>
      </c>
      <c r="F455" s="30"/>
      <c r="G455" s="30"/>
      <c r="H455" s="30"/>
      <c r="I455" s="30"/>
      <c r="J455" s="30"/>
      <c r="K455" s="30"/>
      <c r="L455" s="13"/>
      <c r="M455" s="13"/>
      <c r="N455" s="5"/>
      <c r="O455" s="5"/>
      <c r="P455" s="5"/>
      <c r="Q455" s="5"/>
      <c r="R455" s="5"/>
      <c r="S455" s="5"/>
    </row>
    <row r="456" spans="1:19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5"/>
      <c r="O456" s="5"/>
      <c r="P456" s="5"/>
      <c r="Q456" s="5"/>
      <c r="R456" s="5"/>
      <c r="S456" s="5"/>
    </row>
    <row r="457" spans="1:19">
      <c r="A457" s="13" t="s">
        <v>143</v>
      </c>
      <c r="B457" s="15" t="s">
        <v>1063</v>
      </c>
      <c r="C457" s="15" t="s">
        <v>388</v>
      </c>
      <c r="D457" s="15" t="s">
        <v>1063</v>
      </c>
      <c r="E457" s="15" t="s">
        <v>388</v>
      </c>
      <c r="F457" s="15" t="s">
        <v>1063</v>
      </c>
      <c r="G457" s="15"/>
      <c r="H457" s="15"/>
      <c r="I457" s="15"/>
      <c r="J457" s="13">
        <v>5409</v>
      </c>
      <c r="K457" s="15" t="s">
        <v>389</v>
      </c>
      <c r="L457" s="13">
        <f>SUM(B457:J458)</f>
        <v>63919</v>
      </c>
      <c r="M457" s="13"/>
      <c r="N457" s="5"/>
      <c r="O457" s="5"/>
      <c r="P457" s="5"/>
      <c r="Q457" s="5"/>
      <c r="R457" s="5"/>
      <c r="S457" s="5"/>
    </row>
    <row r="458" spans="1:19">
      <c r="A458" s="13"/>
      <c r="B458" s="13">
        <v>20850</v>
      </c>
      <c r="C458" s="13">
        <v>27256</v>
      </c>
      <c r="D458" s="13">
        <v>2405</v>
      </c>
      <c r="E458" s="13">
        <v>5145</v>
      </c>
      <c r="F458" s="13">
        <v>2854</v>
      </c>
      <c r="G458" s="13"/>
      <c r="H458" s="13"/>
      <c r="I458" s="13"/>
      <c r="J458" s="13"/>
      <c r="K458" s="13"/>
      <c r="L458" s="13"/>
      <c r="M458" s="13"/>
      <c r="N458" s="5"/>
      <c r="O458" s="5"/>
      <c r="P458" s="5"/>
      <c r="Q458" s="5"/>
      <c r="R458" s="5"/>
      <c r="S458" s="5"/>
    </row>
    <row r="459" spans="1:19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5"/>
      <c r="O459" s="5"/>
      <c r="P459" s="5"/>
      <c r="Q459" s="5"/>
      <c r="R459" s="5"/>
      <c r="S459" s="5"/>
    </row>
    <row r="460" spans="1:19">
      <c r="A460" s="30" t="s">
        <v>149</v>
      </c>
      <c r="B460" s="29" t="s">
        <v>1064</v>
      </c>
      <c r="C460" s="29" t="s">
        <v>258</v>
      </c>
      <c r="D460" s="29" t="s">
        <v>258</v>
      </c>
      <c r="E460" s="29" t="s">
        <v>258</v>
      </c>
      <c r="F460" s="29" t="s">
        <v>1064</v>
      </c>
      <c r="G460" s="29"/>
      <c r="H460" s="29"/>
      <c r="I460" s="29"/>
      <c r="J460" s="30">
        <v>3988</v>
      </c>
      <c r="K460" s="29" t="s">
        <v>259</v>
      </c>
      <c r="L460" s="13">
        <f>SUM(B460:J461)</f>
        <v>48497</v>
      </c>
      <c r="M460" s="13"/>
      <c r="N460" s="5"/>
      <c r="O460" s="5"/>
      <c r="P460" s="5"/>
      <c r="Q460" s="5"/>
      <c r="R460" s="5"/>
      <c r="S460" s="5"/>
    </row>
    <row r="461" spans="1:19">
      <c r="A461" s="30"/>
      <c r="B461" s="30">
        <v>13904</v>
      </c>
      <c r="C461" s="30">
        <v>24334</v>
      </c>
      <c r="D461" s="30">
        <v>1434</v>
      </c>
      <c r="E461" s="30">
        <v>3105</v>
      </c>
      <c r="F461" s="30">
        <v>1732</v>
      </c>
      <c r="G461" s="30"/>
      <c r="H461" s="30"/>
      <c r="I461" s="30"/>
      <c r="J461" s="30"/>
      <c r="K461" s="30"/>
      <c r="L461" s="13"/>
      <c r="M461" s="13"/>
      <c r="N461" s="5"/>
      <c r="O461" s="5"/>
      <c r="P461" s="5"/>
      <c r="Q461" s="5"/>
      <c r="R461" s="5"/>
      <c r="S461" s="5"/>
    </row>
    <row r="462" spans="1:19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5"/>
      <c r="O462" s="5"/>
      <c r="P462" s="5"/>
      <c r="Q462" s="5"/>
      <c r="R462" s="5"/>
      <c r="S462" s="5"/>
    </row>
    <row r="463" spans="1:19">
      <c r="A463" s="13" t="s">
        <v>155</v>
      </c>
      <c r="B463" s="15" t="s">
        <v>390</v>
      </c>
      <c r="C463" s="15"/>
      <c r="D463" s="15"/>
      <c r="E463" s="15" t="s">
        <v>1065</v>
      </c>
      <c r="F463" s="15" t="s">
        <v>390</v>
      </c>
      <c r="G463" s="15"/>
      <c r="H463" s="15"/>
      <c r="I463" s="15"/>
      <c r="J463" s="13">
        <v>9864</v>
      </c>
      <c r="K463" s="15" t="s">
        <v>391</v>
      </c>
      <c r="L463" s="13">
        <f>SUM(B463:J464)</f>
        <v>53150</v>
      </c>
      <c r="M463" s="13"/>
      <c r="N463" s="5"/>
      <c r="O463" s="5"/>
      <c r="P463" s="5"/>
      <c r="Q463" s="5"/>
      <c r="R463" s="5"/>
      <c r="S463" s="5"/>
    </row>
    <row r="464" spans="1:19">
      <c r="A464" s="13"/>
      <c r="B464" s="13">
        <v>31605</v>
      </c>
      <c r="C464" s="13"/>
      <c r="D464" s="13"/>
      <c r="E464" s="13">
        <v>7431</v>
      </c>
      <c r="F464" s="13">
        <v>4250</v>
      </c>
      <c r="G464" s="13"/>
      <c r="H464" s="13"/>
      <c r="I464" s="13"/>
      <c r="J464" s="13"/>
      <c r="K464" s="13"/>
      <c r="L464" s="13"/>
      <c r="M464" s="13"/>
      <c r="N464" s="5"/>
      <c r="O464" s="5"/>
      <c r="P464" s="5"/>
      <c r="Q464" s="5"/>
      <c r="R464" s="5"/>
      <c r="S464" s="5"/>
    </row>
    <row r="465" spans="1:19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5"/>
      <c r="O465" s="5"/>
      <c r="P465" s="5"/>
      <c r="Q465" s="5"/>
      <c r="R465" s="5"/>
      <c r="S465" s="5"/>
    </row>
    <row r="466" spans="1:19">
      <c r="A466" s="30" t="s">
        <v>162</v>
      </c>
      <c r="B466" s="29" t="s">
        <v>1066</v>
      </c>
      <c r="C466" s="29" t="s">
        <v>327</v>
      </c>
      <c r="D466" s="29" t="s">
        <v>327</v>
      </c>
      <c r="E466" s="29" t="s">
        <v>327</v>
      </c>
      <c r="F466" s="29" t="s">
        <v>1066</v>
      </c>
      <c r="G466" s="29"/>
      <c r="H466" s="29"/>
      <c r="I466" s="29"/>
      <c r="J466" s="30">
        <v>2317</v>
      </c>
      <c r="K466" s="29" t="s">
        <v>328</v>
      </c>
      <c r="L466" s="13">
        <f>SUM(B466:J467)</f>
        <v>53183</v>
      </c>
      <c r="M466" s="13"/>
      <c r="N466" s="5"/>
      <c r="O466" s="5"/>
      <c r="P466" s="5"/>
      <c r="Q466" s="5"/>
      <c r="R466" s="5"/>
      <c r="S466" s="5"/>
    </row>
    <row r="467" spans="1:19">
      <c r="A467" s="30"/>
      <c r="B467" s="30">
        <v>17486</v>
      </c>
      <c r="C467" s="30">
        <v>25112</v>
      </c>
      <c r="D467" s="30">
        <v>2285</v>
      </c>
      <c r="E467" s="30">
        <v>3774</v>
      </c>
      <c r="F467" s="30">
        <v>2209</v>
      </c>
      <c r="G467" s="30"/>
      <c r="H467" s="30"/>
      <c r="I467" s="30"/>
      <c r="J467" s="30"/>
      <c r="K467" s="30"/>
      <c r="L467" s="13"/>
      <c r="M467" s="13"/>
      <c r="N467" s="5"/>
      <c r="O467" s="5"/>
      <c r="P467" s="5"/>
      <c r="Q467" s="5"/>
      <c r="R467" s="5"/>
      <c r="S467" s="5"/>
    </row>
    <row r="468" spans="1:19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3"/>
      <c r="M468" s="13"/>
      <c r="N468" s="5"/>
      <c r="O468" s="5"/>
      <c r="P468" s="5"/>
      <c r="Q468" s="5"/>
      <c r="R468" s="5"/>
      <c r="S468" s="5"/>
    </row>
    <row r="469" spans="1:19">
      <c r="A469" s="19" t="s">
        <v>171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5"/>
      <c r="O469" s="5"/>
      <c r="P469" s="5"/>
      <c r="Q469" s="5"/>
      <c r="R469" s="5"/>
      <c r="S469" s="5"/>
    </row>
    <row r="470" spans="1:19">
      <c r="A470" s="20" t="s">
        <v>1067</v>
      </c>
      <c r="B470" s="21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5"/>
      <c r="O470" s="5"/>
      <c r="P470" s="5"/>
      <c r="Q470" s="5"/>
      <c r="R470" s="5"/>
      <c r="S470" s="5"/>
    </row>
    <row r="471" spans="1:19">
      <c r="A471" s="20" t="s">
        <v>1068</v>
      </c>
      <c r="B471" s="21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5"/>
      <c r="O471" s="5"/>
      <c r="P471" s="5"/>
      <c r="Q471" s="5"/>
      <c r="R471" s="5"/>
      <c r="S471" s="5"/>
    </row>
    <row r="472" spans="1:19">
      <c r="A472" s="20" t="s">
        <v>1069</v>
      </c>
      <c r="B472" s="21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5"/>
      <c r="O472" s="5"/>
      <c r="P472" s="5"/>
      <c r="Q472" s="5"/>
      <c r="R472" s="5"/>
      <c r="S472" s="5"/>
    </row>
    <row r="473" spans="1:19">
      <c r="A473" s="21" t="s">
        <v>1070</v>
      </c>
      <c r="B473" s="21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5"/>
      <c r="O473" s="5"/>
      <c r="P473" s="5"/>
      <c r="Q473" s="5"/>
      <c r="R473" s="5"/>
      <c r="S473" s="5"/>
    </row>
    <row r="474" spans="1:19">
      <c r="A474" s="21" t="s">
        <v>329</v>
      </c>
      <c r="B474" s="21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5"/>
      <c r="O474" s="5"/>
      <c r="P474" s="5"/>
      <c r="Q474" s="5"/>
      <c r="R474" s="5"/>
      <c r="S474" s="5"/>
    </row>
    <row r="475" spans="1:19">
      <c r="A475" s="21" t="s">
        <v>1071</v>
      </c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5"/>
      <c r="O475" s="5"/>
      <c r="P475" s="5"/>
      <c r="Q475" s="5"/>
      <c r="R475" s="5"/>
      <c r="S475" s="5"/>
    </row>
    <row r="476" spans="1:19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5"/>
      <c r="O476" s="5"/>
      <c r="P476" s="5"/>
      <c r="Q476" s="5"/>
      <c r="R476" s="5"/>
      <c r="S476" s="5"/>
    </row>
    <row r="477" spans="1:19">
      <c r="A477" s="56" t="s">
        <v>1072</v>
      </c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5"/>
      <c r="O477" s="5"/>
      <c r="P477" s="5"/>
      <c r="Q477" s="5"/>
      <c r="R477" s="5"/>
      <c r="S477" s="5"/>
    </row>
    <row r="478" spans="1:19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5"/>
      <c r="O478" s="5"/>
      <c r="P478" s="5"/>
      <c r="Q478" s="5"/>
      <c r="R478" s="5"/>
      <c r="S478" s="5"/>
    </row>
    <row r="479" spans="1:19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5"/>
      <c r="O479" s="5"/>
      <c r="P479" s="5"/>
      <c r="Q479" s="5"/>
      <c r="R479" s="5"/>
      <c r="S479" s="5"/>
    </row>
    <row r="480" spans="1:19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5"/>
      <c r="O480" s="5"/>
      <c r="P480" s="5"/>
      <c r="Q480" s="5"/>
      <c r="R480" s="5"/>
      <c r="S480" s="5"/>
    </row>
    <row r="481" spans="1:19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5"/>
      <c r="O481" s="5"/>
      <c r="P481" s="5"/>
      <c r="Q481" s="5"/>
      <c r="R481" s="5"/>
      <c r="S481" s="5"/>
    </row>
    <row r="482" spans="1:19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5"/>
      <c r="O482" s="5"/>
      <c r="P482" s="5"/>
      <c r="Q482" s="5"/>
      <c r="R482" s="5"/>
      <c r="S482" s="5"/>
    </row>
  </sheetData>
  <hyperlinks>
    <hyperlink ref="A477" r:id="rId1"/>
  </hyperlinks>
  <pageMargins left="0.7" right="0.7" top="0.75" bottom="0.75" header="0.3" footer="0.3"/>
  <pageSetup scale="54" fitToHeight="13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1"/>
  <sheetViews>
    <sheetView workbookViewId="0"/>
  </sheetViews>
  <sheetFormatPr defaultColWidth="15.77734375" defaultRowHeight="15.75"/>
  <cols>
    <col min="1" max="1" width="25.77734375" customWidth="1"/>
    <col min="11" max="11" width="26.77734375" customWidth="1"/>
  </cols>
  <sheetData>
    <row r="1" spans="1:13" ht="20.25">
      <c r="A1" s="22" t="s">
        <v>0</v>
      </c>
      <c r="B1" s="8"/>
      <c r="C1" s="8"/>
      <c r="D1" s="8"/>
      <c r="E1" s="8"/>
      <c r="F1" s="9"/>
      <c r="G1" s="9"/>
      <c r="H1" s="9"/>
      <c r="I1" s="7"/>
      <c r="J1" s="5"/>
      <c r="K1" s="5"/>
      <c r="L1" s="5"/>
      <c r="M1" s="5"/>
    </row>
    <row r="2" spans="1:13" ht="20.25">
      <c r="A2" s="23" t="s">
        <v>2886</v>
      </c>
      <c r="B2" s="8"/>
      <c r="C2" s="8"/>
      <c r="D2" s="5"/>
      <c r="E2" s="5"/>
      <c r="F2" s="5"/>
      <c r="G2" s="5"/>
      <c r="H2" s="5"/>
      <c r="I2" s="6"/>
      <c r="J2" s="5"/>
      <c r="K2" s="5"/>
      <c r="L2" s="5"/>
      <c r="M2" s="5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6" t="s">
        <v>585</v>
      </c>
      <c r="H4" s="26" t="s">
        <v>586</v>
      </c>
      <c r="I4" s="25" t="s">
        <v>580</v>
      </c>
      <c r="J4" s="27" t="s">
        <v>582</v>
      </c>
      <c r="K4" s="25" t="s">
        <v>2</v>
      </c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11" t="s">
        <v>3</v>
      </c>
      <c r="B6" s="12" t="s">
        <v>1082</v>
      </c>
      <c r="C6" s="12" t="s">
        <v>926</v>
      </c>
      <c r="D6" s="12" t="s">
        <v>1082</v>
      </c>
      <c r="E6" s="12" t="s">
        <v>926</v>
      </c>
      <c r="F6" s="12" t="s">
        <v>1082</v>
      </c>
      <c r="G6" s="12"/>
      <c r="H6" s="12"/>
      <c r="I6" s="12" t="s">
        <v>1083</v>
      </c>
      <c r="J6" s="13">
        <v>1660</v>
      </c>
      <c r="K6" s="12" t="s">
        <v>927</v>
      </c>
      <c r="L6" s="5"/>
      <c r="M6" s="5"/>
    </row>
    <row r="7" spans="1:13">
      <c r="A7" s="5"/>
      <c r="B7" s="13">
        <v>19308</v>
      </c>
      <c r="C7" s="13">
        <v>18755</v>
      </c>
      <c r="D7" s="13">
        <v>2243</v>
      </c>
      <c r="E7" s="13">
        <v>4752</v>
      </c>
      <c r="F7" s="13">
        <v>1392</v>
      </c>
      <c r="G7" s="13"/>
      <c r="H7" s="13"/>
      <c r="I7" s="13">
        <v>353</v>
      </c>
      <c r="J7" s="13"/>
      <c r="K7" s="14"/>
      <c r="L7" s="5"/>
      <c r="M7" s="5"/>
    </row>
    <row r="8" spans="1:13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5"/>
      <c r="M8" s="5"/>
    </row>
    <row r="9" spans="1:13">
      <c r="A9" s="28" t="s">
        <v>10</v>
      </c>
      <c r="B9" s="29" t="s">
        <v>216</v>
      </c>
      <c r="C9" s="29" t="s">
        <v>1084</v>
      </c>
      <c r="D9" s="29" t="s">
        <v>1085</v>
      </c>
      <c r="E9" s="29" t="s">
        <v>1084</v>
      </c>
      <c r="F9" s="29" t="s">
        <v>216</v>
      </c>
      <c r="G9" s="29"/>
      <c r="H9" s="29"/>
      <c r="I9" s="29"/>
      <c r="J9" s="30">
        <v>2110</v>
      </c>
      <c r="K9" s="29" t="s">
        <v>11</v>
      </c>
      <c r="L9" s="5"/>
      <c r="M9" s="5"/>
    </row>
    <row r="10" spans="1:13">
      <c r="A10" s="31"/>
      <c r="B10" s="30">
        <v>18589</v>
      </c>
      <c r="C10" s="30">
        <v>12856</v>
      </c>
      <c r="D10" s="30">
        <v>3208</v>
      </c>
      <c r="E10" s="30">
        <v>3180</v>
      </c>
      <c r="F10" s="30">
        <v>1634</v>
      </c>
      <c r="G10" s="30"/>
      <c r="H10" s="30"/>
      <c r="I10" s="30"/>
      <c r="J10" s="30"/>
      <c r="K10" s="30"/>
      <c r="L10" s="5"/>
      <c r="M10" s="5"/>
    </row>
    <row r="11" spans="1:13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5"/>
      <c r="M11" s="5"/>
    </row>
    <row r="12" spans="1:13">
      <c r="A12" s="11" t="s">
        <v>16</v>
      </c>
      <c r="B12" s="12" t="s">
        <v>1086</v>
      </c>
      <c r="C12" s="12" t="s">
        <v>285</v>
      </c>
      <c r="D12" s="12" t="s">
        <v>1086</v>
      </c>
      <c r="E12" s="12" t="s">
        <v>285</v>
      </c>
      <c r="F12" s="12" t="s">
        <v>1086</v>
      </c>
      <c r="G12" s="12"/>
      <c r="H12" s="12"/>
      <c r="I12" s="12" t="s">
        <v>1087</v>
      </c>
      <c r="J12" s="13">
        <v>2234</v>
      </c>
      <c r="K12" s="12" t="s">
        <v>399</v>
      </c>
      <c r="L12" s="5"/>
      <c r="M12" s="5"/>
    </row>
    <row r="13" spans="1:13">
      <c r="A13" s="5"/>
      <c r="B13" s="13">
        <v>12311</v>
      </c>
      <c r="C13" s="13">
        <v>13068</v>
      </c>
      <c r="D13" s="13">
        <v>924</v>
      </c>
      <c r="E13" s="13">
        <v>3070</v>
      </c>
      <c r="F13" s="13">
        <v>1258</v>
      </c>
      <c r="G13" s="13"/>
      <c r="H13" s="13"/>
      <c r="I13" s="13">
        <v>383</v>
      </c>
      <c r="J13" s="13"/>
      <c r="K13" s="14"/>
      <c r="L13" s="5"/>
      <c r="M13" s="5"/>
    </row>
    <row r="14" spans="1:13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5"/>
      <c r="M14" s="5"/>
    </row>
    <row r="15" spans="1:13">
      <c r="A15" s="28" t="s">
        <v>26</v>
      </c>
      <c r="B15" s="32" t="s">
        <v>187</v>
      </c>
      <c r="C15" s="32" t="s">
        <v>930</v>
      </c>
      <c r="D15" s="32" t="s">
        <v>198</v>
      </c>
      <c r="E15" s="32" t="s">
        <v>930</v>
      </c>
      <c r="F15" s="32" t="s">
        <v>198</v>
      </c>
      <c r="G15" s="32"/>
      <c r="H15" s="32"/>
      <c r="I15" s="32"/>
      <c r="J15" s="30">
        <v>1672</v>
      </c>
      <c r="K15" s="32" t="s">
        <v>27</v>
      </c>
      <c r="L15" s="5"/>
      <c r="M15" s="5"/>
    </row>
    <row r="16" spans="1:13">
      <c r="A16" s="31"/>
      <c r="B16" s="30">
        <v>17564</v>
      </c>
      <c r="C16" s="30">
        <v>12513</v>
      </c>
      <c r="D16" s="30">
        <v>1734</v>
      </c>
      <c r="E16" s="32">
        <v>3459</v>
      </c>
      <c r="F16" s="32">
        <v>1148</v>
      </c>
      <c r="G16" s="32"/>
      <c r="H16" s="32"/>
      <c r="I16" s="30"/>
      <c r="J16" s="30"/>
      <c r="K16" s="33"/>
      <c r="L16" s="5"/>
      <c r="M16" s="5"/>
    </row>
    <row r="17" spans="1:13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5"/>
      <c r="M17" s="5"/>
    </row>
    <row r="18" spans="1:13">
      <c r="A18" s="11" t="s">
        <v>40</v>
      </c>
      <c r="B18" s="12" t="s">
        <v>1088</v>
      </c>
      <c r="C18" s="12" t="s">
        <v>286</v>
      </c>
      <c r="D18" s="12" t="s">
        <v>1089</v>
      </c>
      <c r="E18" s="12" t="s">
        <v>286</v>
      </c>
      <c r="F18" s="12" t="s">
        <v>1089</v>
      </c>
      <c r="G18" s="12"/>
      <c r="H18" s="12"/>
      <c r="I18" s="12"/>
      <c r="J18" s="13">
        <v>1955</v>
      </c>
      <c r="K18" s="12" t="s">
        <v>287</v>
      </c>
      <c r="L18" s="5"/>
      <c r="M18" s="5"/>
    </row>
    <row r="19" spans="1:13">
      <c r="A19" s="5"/>
      <c r="B19" s="13">
        <v>10588</v>
      </c>
      <c r="C19" s="13">
        <v>14268</v>
      </c>
      <c r="D19" s="13">
        <v>6041</v>
      </c>
      <c r="E19" s="13">
        <v>3542</v>
      </c>
      <c r="F19" s="13">
        <v>1538</v>
      </c>
      <c r="G19" s="13"/>
      <c r="H19" s="13"/>
      <c r="I19" s="13"/>
      <c r="J19" s="13"/>
      <c r="K19" s="14"/>
      <c r="L19" s="5"/>
      <c r="M19" s="5"/>
    </row>
    <row r="20" spans="1:13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5"/>
      <c r="M20" s="5"/>
    </row>
    <row r="21" spans="1:13">
      <c r="A21" s="28" t="s">
        <v>52</v>
      </c>
      <c r="B21" s="32" t="s">
        <v>217</v>
      </c>
      <c r="C21" s="32" t="s">
        <v>1090</v>
      </c>
      <c r="D21" s="32" t="s">
        <v>217</v>
      </c>
      <c r="E21" s="32" t="s">
        <v>1090</v>
      </c>
      <c r="F21" s="32" t="s">
        <v>217</v>
      </c>
      <c r="G21" s="32"/>
      <c r="H21" s="32"/>
      <c r="I21" s="29"/>
      <c r="J21" s="30">
        <v>1371</v>
      </c>
      <c r="K21" s="32" t="s">
        <v>218</v>
      </c>
      <c r="L21" s="5"/>
      <c r="M21" s="5"/>
    </row>
    <row r="22" spans="1:13">
      <c r="A22" s="31"/>
      <c r="B22" s="30">
        <v>12474</v>
      </c>
      <c r="C22" s="30">
        <v>3743</v>
      </c>
      <c r="D22" s="30">
        <v>704</v>
      </c>
      <c r="E22" s="30">
        <v>911</v>
      </c>
      <c r="F22" s="30">
        <v>604</v>
      </c>
      <c r="G22" s="30"/>
      <c r="H22" s="30"/>
      <c r="I22" s="30"/>
      <c r="J22" s="30"/>
      <c r="K22" s="33"/>
      <c r="L22" s="5"/>
      <c r="M22" s="5"/>
    </row>
    <row r="23" spans="1:13">
      <c r="A23" s="5"/>
      <c r="B23" s="16"/>
      <c r="C23" s="16"/>
      <c r="D23" s="16"/>
      <c r="E23" s="16"/>
      <c r="F23" s="16"/>
      <c r="G23" s="16"/>
      <c r="H23" s="16"/>
      <c r="I23" s="13"/>
      <c r="J23" s="13"/>
      <c r="K23" s="13"/>
      <c r="L23" s="5"/>
      <c r="M23" s="5"/>
    </row>
    <row r="24" spans="1:13">
      <c r="A24" s="11" t="s">
        <v>59</v>
      </c>
      <c r="B24" s="12" t="s">
        <v>455</v>
      </c>
      <c r="C24" s="12" t="s">
        <v>219</v>
      </c>
      <c r="D24" s="12" t="s">
        <v>219</v>
      </c>
      <c r="E24" s="12" t="s">
        <v>219</v>
      </c>
      <c r="F24" s="12" t="s">
        <v>455</v>
      </c>
      <c r="G24" s="12"/>
      <c r="H24" s="12"/>
      <c r="I24" s="12"/>
      <c r="J24" s="13">
        <v>2778</v>
      </c>
      <c r="K24" s="12" t="s">
        <v>220</v>
      </c>
      <c r="L24" s="5"/>
      <c r="M24" s="5"/>
    </row>
    <row r="25" spans="1:13">
      <c r="A25" s="5"/>
      <c r="B25" s="13">
        <v>11126</v>
      </c>
      <c r="C25" s="13">
        <v>23167</v>
      </c>
      <c r="D25" s="13">
        <v>1433</v>
      </c>
      <c r="E25" s="13">
        <v>4518</v>
      </c>
      <c r="F25" s="13">
        <v>842</v>
      </c>
      <c r="G25" s="13"/>
      <c r="H25" s="13"/>
      <c r="I25" s="13"/>
      <c r="J25" s="13"/>
      <c r="K25" s="14"/>
      <c r="L25" s="5"/>
      <c r="M25" s="5"/>
    </row>
    <row r="26" spans="1:13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5"/>
      <c r="M26" s="5"/>
    </row>
    <row r="27" spans="1:13">
      <c r="A27" s="28" t="s">
        <v>64</v>
      </c>
      <c r="B27" s="32" t="s">
        <v>1091</v>
      </c>
      <c r="C27" s="32" t="s">
        <v>1092</v>
      </c>
      <c r="D27" s="32" t="s">
        <v>1092</v>
      </c>
      <c r="E27" s="32" t="s">
        <v>1092</v>
      </c>
      <c r="F27" s="32"/>
      <c r="G27" s="32"/>
      <c r="H27" s="32"/>
      <c r="I27" s="32"/>
      <c r="J27" s="30">
        <v>2904</v>
      </c>
      <c r="K27" s="32" t="s">
        <v>1093</v>
      </c>
      <c r="L27" s="5"/>
      <c r="M27" s="5"/>
    </row>
    <row r="28" spans="1:13">
      <c r="A28" s="31"/>
      <c r="B28" s="30">
        <v>9714</v>
      </c>
      <c r="C28" s="30">
        <v>18402</v>
      </c>
      <c r="D28" s="30">
        <v>1583</v>
      </c>
      <c r="E28" s="30">
        <v>3766</v>
      </c>
      <c r="F28" s="30"/>
      <c r="G28" s="30"/>
      <c r="H28" s="30"/>
      <c r="I28" s="30"/>
      <c r="J28" s="30"/>
      <c r="K28" s="33"/>
      <c r="L28" s="5"/>
      <c r="M28" s="5"/>
    </row>
    <row r="29" spans="1:13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5"/>
      <c r="M29" s="5"/>
    </row>
    <row r="30" spans="1:13">
      <c r="A30" s="11" t="s">
        <v>73</v>
      </c>
      <c r="B30" s="12" t="s">
        <v>1094</v>
      </c>
      <c r="C30" s="12" t="s">
        <v>238</v>
      </c>
      <c r="D30" s="12" t="s">
        <v>238</v>
      </c>
      <c r="E30" s="12" t="s">
        <v>238</v>
      </c>
      <c r="F30" s="12"/>
      <c r="G30" s="12"/>
      <c r="H30" s="12"/>
      <c r="I30" s="12"/>
      <c r="J30" s="13">
        <v>2462</v>
      </c>
      <c r="K30" s="12" t="s">
        <v>239</v>
      </c>
      <c r="L30" s="5"/>
      <c r="M30" s="5"/>
    </row>
    <row r="31" spans="1:13">
      <c r="A31" s="5"/>
      <c r="B31" s="13">
        <v>11967</v>
      </c>
      <c r="C31" s="13">
        <v>21293</v>
      </c>
      <c r="D31" s="13">
        <v>1780</v>
      </c>
      <c r="E31" s="13">
        <v>4083</v>
      </c>
      <c r="F31" s="13"/>
      <c r="G31" s="13"/>
      <c r="H31" s="13"/>
      <c r="I31" s="13"/>
      <c r="J31" s="13"/>
      <c r="K31" s="14"/>
      <c r="L31" s="5"/>
      <c r="M31" s="5"/>
    </row>
    <row r="32" spans="1:13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5"/>
      <c r="M32" s="5"/>
    </row>
    <row r="33" spans="1:13">
      <c r="A33" s="28" t="s">
        <v>80</v>
      </c>
      <c r="B33" s="32" t="s">
        <v>1095</v>
      </c>
      <c r="C33" s="32" t="s">
        <v>1096</v>
      </c>
      <c r="D33" s="32" t="s">
        <v>1096</v>
      </c>
      <c r="E33" s="32" t="s">
        <v>1097</v>
      </c>
      <c r="F33" s="32" t="s">
        <v>1097</v>
      </c>
      <c r="G33" s="32"/>
      <c r="H33" s="32"/>
      <c r="I33" s="32"/>
      <c r="J33" s="30">
        <v>2519</v>
      </c>
      <c r="K33" s="32" t="s">
        <v>1098</v>
      </c>
      <c r="L33" s="5"/>
      <c r="M33" s="5"/>
    </row>
    <row r="34" spans="1:13">
      <c r="A34" s="31"/>
      <c r="B34" s="30">
        <v>13751</v>
      </c>
      <c r="C34" s="30">
        <v>18370</v>
      </c>
      <c r="D34" s="30">
        <v>1450</v>
      </c>
      <c r="E34" s="30">
        <v>3127</v>
      </c>
      <c r="F34" s="30">
        <v>819</v>
      </c>
      <c r="G34" s="30"/>
      <c r="H34" s="30"/>
      <c r="I34" s="30"/>
      <c r="J34" s="30"/>
      <c r="K34" s="33"/>
      <c r="L34" s="5"/>
      <c r="M34" s="5"/>
    </row>
    <row r="35" spans="1:13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5"/>
      <c r="M35" s="5"/>
    </row>
    <row r="36" spans="1:13">
      <c r="A36" s="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5"/>
      <c r="M36" s="5"/>
    </row>
    <row r="37" spans="1:13">
      <c r="A37" s="11" t="s">
        <v>83</v>
      </c>
      <c r="B37" s="12" t="s">
        <v>939</v>
      </c>
      <c r="C37" s="12" t="s">
        <v>825</v>
      </c>
      <c r="D37" s="12" t="s">
        <v>941</v>
      </c>
      <c r="E37" s="15" t="s">
        <v>825</v>
      </c>
      <c r="F37" s="15" t="s">
        <v>941</v>
      </c>
      <c r="G37" s="15"/>
      <c r="H37" s="15"/>
      <c r="I37" s="12"/>
      <c r="J37" s="13">
        <v>1874</v>
      </c>
      <c r="K37" s="12" t="s">
        <v>942</v>
      </c>
      <c r="L37" s="5"/>
      <c r="M37" s="5"/>
    </row>
    <row r="38" spans="1:13">
      <c r="A38" s="5"/>
      <c r="B38" s="13">
        <v>14533</v>
      </c>
      <c r="C38" s="13">
        <v>6643</v>
      </c>
      <c r="D38" s="13">
        <v>1486</v>
      </c>
      <c r="E38" s="13">
        <v>1500</v>
      </c>
      <c r="F38" s="13">
        <v>779</v>
      </c>
      <c r="G38" s="13"/>
      <c r="H38" s="13"/>
      <c r="I38" s="13"/>
      <c r="J38" s="13"/>
      <c r="K38" s="14"/>
      <c r="L38" s="5"/>
      <c r="M38" s="5"/>
    </row>
    <row r="39" spans="1:13">
      <c r="A39" s="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5"/>
      <c r="M39" s="5"/>
    </row>
    <row r="40" spans="1:13">
      <c r="A40" s="28" t="s">
        <v>91</v>
      </c>
      <c r="B40" s="32" t="s">
        <v>1099</v>
      </c>
      <c r="C40" s="32" t="s">
        <v>243</v>
      </c>
      <c r="D40" s="32" t="s">
        <v>243</v>
      </c>
      <c r="E40" s="32" t="s">
        <v>243</v>
      </c>
      <c r="F40" s="32" t="s">
        <v>243</v>
      </c>
      <c r="G40" s="32"/>
      <c r="H40" s="32"/>
      <c r="I40" s="32" t="s">
        <v>288</v>
      </c>
      <c r="J40" s="30">
        <v>1770</v>
      </c>
      <c r="K40" s="32" t="s">
        <v>401</v>
      </c>
      <c r="L40" s="5"/>
      <c r="M40" s="5"/>
    </row>
    <row r="41" spans="1:13">
      <c r="A41" s="31"/>
      <c r="B41" s="30">
        <v>9103</v>
      </c>
      <c r="C41" s="30">
        <v>23229</v>
      </c>
      <c r="D41" s="30">
        <v>1148</v>
      </c>
      <c r="E41" s="30">
        <v>3315</v>
      </c>
      <c r="F41" s="30">
        <v>759</v>
      </c>
      <c r="G41" s="30"/>
      <c r="H41" s="30"/>
      <c r="I41" s="30">
        <v>156</v>
      </c>
      <c r="J41" s="30"/>
      <c r="K41" s="33"/>
      <c r="L41" s="5"/>
      <c r="M41" s="5"/>
    </row>
    <row r="42" spans="1:13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5"/>
      <c r="M42" s="5"/>
    </row>
    <row r="43" spans="1:13">
      <c r="A43" s="11" t="s">
        <v>94</v>
      </c>
      <c r="B43" s="12" t="s">
        <v>244</v>
      </c>
      <c r="C43" s="12" t="s">
        <v>1100</v>
      </c>
      <c r="D43" s="12" t="s">
        <v>244</v>
      </c>
      <c r="E43" s="12" t="s">
        <v>1100</v>
      </c>
      <c r="F43" s="12" t="s">
        <v>244</v>
      </c>
      <c r="G43" s="12"/>
      <c r="H43" s="12"/>
      <c r="I43" s="15"/>
      <c r="J43" s="13">
        <v>2279</v>
      </c>
      <c r="K43" s="12" t="s">
        <v>245</v>
      </c>
      <c r="L43" s="5"/>
      <c r="M43" s="5"/>
    </row>
    <row r="44" spans="1:13">
      <c r="A44" s="5"/>
      <c r="B44" s="13">
        <v>19905</v>
      </c>
      <c r="C44" s="13">
        <v>14977</v>
      </c>
      <c r="D44" s="13">
        <v>899</v>
      </c>
      <c r="E44" s="13">
        <v>2019</v>
      </c>
      <c r="F44" s="13">
        <v>790</v>
      </c>
      <c r="G44" s="13"/>
      <c r="H44" s="13"/>
      <c r="I44" s="13"/>
      <c r="J44" s="13"/>
      <c r="K44" s="14"/>
      <c r="L44" s="5"/>
      <c r="M44" s="5"/>
    </row>
    <row r="45" spans="1:13">
      <c r="A45" s="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5"/>
      <c r="M45" s="5"/>
    </row>
    <row r="46" spans="1:13">
      <c r="A46" s="28" t="s">
        <v>104</v>
      </c>
      <c r="B46" s="32" t="s">
        <v>1101</v>
      </c>
      <c r="C46" s="32" t="s">
        <v>289</v>
      </c>
      <c r="D46" s="32" t="s">
        <v>289</v>
      </c>
      <c r="E46" s="32" t="s">
        <v>289</v>
      </c>
      <c r="F46" s="32" t="s">
        <v>1101</v>
      </c>
      <c r="G46" s="32"/>
      <c r="H46" s="32"/>
      <c r="I46" s="29" t="s">
        <v>786</v>
      </c>
      <c r="J46" s="30">
        <v>2181</v>
      </c>
      <c r="K46" s="32" t="s">
        <v>290</v>
      </c>
      <c r="L46" s="5"/>
      <c r="M46" s="5"/>
    </row>
    <row r="47" spans="1:13">
      <c r="A47" s="31"/>
      <c r="B47" s="30">
        <v>14175</v>
      </c>
      <c r="C47" s="30">
        <v>19418</v>
      </c>
      <c r="D47" s="30">
        <v>1083</v>
      </c>
      <c r="E47" s="30">
        <v>2724</v>
      </c>
      <c r="F47" s="30">
        <v>1031</v>
      </c>
      <c r="G47" s="30"/>
      <c r="H47" s="30"/>
      <c r="I47" s="29">
        <v>137</v>
      </c>
      <c r="J47" s="30"/>
      <c r="K47" s="33"/>
      <c r="L47" s="5"/>
      <c r="M47" s="5"/>
    </row>
    <row r="48" spans="1:13">
      <c r="A48" s="5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5"/>
      <c r="M48" s="5"/>
    </row>
    <row r="49" spans="1:13">
      <c r="A49" s="11" t="s">
        <v>110</v>
      </c>
      <c r="B49" s="12" t="s">
        <v>462</v>
      </c>
      <c r="C49" s="12" t="s">
        <v>291</v>
      </c>
      <c r="D49" s="12" t="s">
        <v>291</v>
      </c>
      <c r="E49" s="12" t="s">
        <v>291</v>
      </c>
      <c r="F49" s="12" t="s">
        <v>462</v>
      </c>
      <c r="G49" s="12"/>
      <c r="H49" s="12"/>
      <c r="I49" s="15" t="s">
        <v>776</v>
      </c>
      <c r="J49" s="13">
        <v>2388</v>
      </c>
      <c r="K49" s="12" t="s">
        <v>292</v>
      </c>
      <c r="L49" s="5"/>
      <c r="M49" s="5"/>
    </row>
    <row r="50" spans="1:13">
      <c r="A50" s="5"/>
      <c r="B50" s="13">
        <v>11965</v>
      </c>
      <c r="C50" s="13">
        <v>18077</v>
      </c>
      <c r="D50" s="13">
        <v>915</v>
      </c>
      <c r="E50" s="13">
        <v>2526</v>
      </c>
      <c r="F50" s="13">
        <v>765</v>
      </c>
      <c r="G50" s="13"/>
      <c r="H50" s="13"/>
      <c r="I50" s="13">
        <v>88</v>
      </c>
      <c r="J50" s="13"/>
      <c r="K50" s="14"/>
      <c r="L50" s="5"/>
      <c r="M50" s="5"/>
    </row>
    <row r="51" spans="1:13">
      <c r="A51" s="5"/>
      <c r="B51" s="15"/>
      <c r="C51" s="15"/>
      <c r="D51" s="15"/>
      <c r="E51" s="15"/>
      <c r="F51" s="15"/>
      <c r="G51" s="15"/>
      <c r="H51" s="15"/>
      <c r="I51" s="15"/>
      <c r="J51" s="13"/>
      <c r="K51" s="13"/>
      <c r="L51" s="5"/>
      <c r="M51" s="5"/>
    </row>
    <row r="52" spans="1:13">
      <c r="A52" s="28" t="s">
        <v>114</v>
      </c>
      <c r="B52" s="32" t="s">
        <v>777</v>
      </c>
      <c r="C52" s="32" t="s">
        <v>1017</v>
      </c>
      <c r="D52" s="32" t="s">
        <v>777</v>
      </c>
      <c r="E52" s="32" t="s">
        <v>1017</v>
      </c>
      <c r="F52" s="32" t="s">
        <v>777</v>
      </c>
      <c r="G52" s="32"/>
      <c r="H52" s="32"/>
      <c r="I52" s="29"/>
      <c r="J52" s="30">
        <v>2124</v>
      </c>
      <c r="K52" s="32" t="s">
        <v>1102</v>
      </c>
      <c r="L52" s="5"/>
      <c r="M52" s="5"/>
    </row>
    <row r="53" spans="1:13">
      <c r="A53" s="31"/>
      <c r="B53" s="30">
        <v>21289</v>
      </c>
      <c r="C53" s="30">
        <v>14960</v>
      </c>
      <c r="D53" s="30">
        <v>1005</v>
      </c>
      <c r="E53" s="30">
        <v>1788</v>
      </c>
      <c r="F53" s="30">
        <v>1090</v>
      </c>
      <c r="G53" s="30"/>
      <c r="H53" s="30"/>
      <c r="I53" s="30"/>
      <c r="J53" s="30"/>
      <c r="K53" s="33"/>
      <c r="L53" s="5"/>
      <c r="M53" s="5"/>
    </row>
    <row r="54" spans="1:13">
      <c r="A54" s="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5"/>
      <c r="M54" s="5"/>
    </row>
    <row r="55" spans="1:13">
      <c r="A55" s="11" t="s">
        <v>128</v>
      </c>
      <c r="B55" s="12" t="s">
        <v>1103</v>
      </c>
      <c r="C55" s="12" t="s">
        <v>252</v>
      </c>
      <c r="D55" s="12" t="s">
        <v>252</v>
      </c>
      <c r="E55" s="12" t="s">
        <v>252</v>
      </c>
      <c r="F55" s="12" t="s">
        <v>1103</v>
      </c>
      <c r="G55" s="12"/>
      <c r="H55" s="12"/>
      <c r="I55" s="15"/>
      <c r="J55" s="13">
        <v>2411</v>
      </c>
      <c r="K55" s="12" t="s">
        <v>253</v>
      </c>
      <c r="L55" s="5"/>
      <c r="M55" s="5"/>
    </row>
    <row r="56" spans="1:13">
      <c r="A56" s="5"/>
      <c r="B56" s="13">
        <v>14068</v>
      </c>
      <c r="C56" s="13">
        <v>20683</v>
      </c>
      <c r="D56" s="13">
        <v>1028</v>
      </c>
      <c r="E56" s="13">
        <v>3055</v>
      </c>
      <c r="F56" s="13">
        <v>992</v>
      </c>
      <c r="G56" s="13"/>
      <c r="H56" s="13"/>
      <c r="I56" s="13"/>
      <c r="J56" s="13"/>
      <c r="K56" s="14"/>
      <c r="L56" s="5"/>
      <c r="M56" s="5"/>
    </row>
    <row r="57" spans="1:13">
      <c r="A57" s="5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5"/>
      <c r="M57" s="5"/>
    </row>
    <row r="58" spans="1:13">
      <c r="A58" s="28" t="s">
        <v>133</v>
      </c>
      <c r="B58" s="32" t="s">
        <v>221</v>
      </c>
      <c r="C58" s="32" t="s">
        <v>1104</v>
      </c>
      <c r="D58" s="32" t="s">
        <v>221</v>
      </c>
      <c r="E58" s="32" t="s">
        <v>1104</v>
      </c>
      <c r="F58" s="32"/>
      <c r="G58" s="32"/>
      <c r="H58" s="32"/>
      <c r="I58" s="32"/>
      <c r="J58" s="30">
        <v>1371</v>
      </c>
      <c r="K58" s="32" t="s">
        <v>222</v>
      </c>
      <c r="L58" s="5"/>
      <c r="M58" s="5"/>
    </row>
    <row r="59" spans="1:13">
      <c r="A59" s="31"/>
      <c r="B59" s="30">
        <v>20169</v>
      </c>
      <c r="C59" s="30">
        <v>3662</v>
      </c>
      <c r="D59" s="30">
        <v>497</v>
      </c>
      <c r="E59" s="30">
        <v>558</v>
      </c>
      <c r="F59" s="30"/>
      <c r="G59" s="30"/>
      <c r="H59" s="30"/>
      <c r="I59" s="30"/>
      <c r="J59" s="30"/>
      <c r="K59" s="33"/>
      <c r="L59" s="5"/>
      <c r="M59" s="5"/>
    </row>
    <row r="60" spans="1:13">
      <c r="A60" s="5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5"/>
      <c r="M60" s="5"/>
    </row>
    <row r="61" spans="1:13">
      <c r="A61" s="11" t="s">
        <v>138</v>
      </c>
      <c r="B61" s="12" t="s">
        <v>943</v>
      </c>
      <c r="C61" s="12" t="s">
        <v>213</v>
      </c>
      <c r="D61" s="12" t="s">
        <v>213</v>
      </c>
      <c r="E61" s="12" t="s">
        <v>213</v>
      </c>
      <c r="F61" s="12" t="s">
        <v>943</v>
      </c>
      <c r="G61" s="12"/>
      <c r="H61" s="12"/>
      <c r="I61" s="12" t="s">
        <v>293</v>
      </c>
      <c r="J61" s="13">
        <v>2137</v>
      </c>
      <c r="K61" s="12" t="s">
        <v>214</v>
      </c>
      <c r="L61" s="5"/>
      <c r="M61" s="5"/>
    </row>
    <row r="62" spans="1:13">
      <c r="A62" s="5"/>
      <c r="B62" s="13">
        <v>12352</v>
      </c>
      <c r="C62" s="13">
        <v>20701</v>
      </c>
      <c r="D62" s="13">
        <v>1139</v>
      </c>
      <c r="E62" s="13">
        <v>2954</v>
      </c>
      <c r="F62" s="13">
        <v>937</v>
      </c>
      <c r="G62" s="13"/>
      <c r="H62" s="13"/>
      <c r="I62" s="13">
        <v>154</v>
      </c>
      <c r="J62" s="13"/>
      <c r="K62" s="14"/>
      <c r="L62" s="5"/>
      <c r="M62" s="5"/>
    </row>
    <row r="63" spans="1:13">
      <c r="A63" s="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5"/>
      <c r="M63" s="5"/>
    </row>
    <row r="64" spans="1:13">
      <c r="A64" s="28" t="s">
        <v>141</v>
      </c>
      <c r="B64" s="32" t="s">
        <v>947</v>
      </c>
      <c r="C64" s="32" t="s">
        <v>1105</v>
      </c>
      <c r="D64" s="32" t="s">
        <v>949</v>
      </c>
      <c r="E64" s="32" t="s">
        <v>1105</v>
      </c>
      <c r="F64" s="32" t="s">
        <v>949</v>
      </c>
      <c r="G64" s="32"/>
      <c r="H64" s="32"/>
      <c r="I64" s="29"/>
      <c r="J64" s="30">
        <v>1443</v>
      </c>
      <c r="K64" s="32" t="s">
        <v>951</v>
      </c>
      <c r="L64" s="5"/>
      <c r="M64" s="5"/>
    </row>
    <row r="65" spans="1:13">
      <c r="A65" s="31"/>
      <c r="B65" s="30">
        <v>18085</v>
      </c>
      <c r="C65" s="30">
        <v>16195</v>
      </c>
      <c r="D65" s="30">
        <v>1122</v>
      </c>
      <c r="E65" s="30">
        <v>1707</v>
      </c>
      <c r="F65" s="30">
        <v>822</v>
      </c>
      <c r="G65" s="30"/>
      <c r="H65" s="30"/>
      <c r="I65" s="30"/>
      <c r="J65" s="30"/>
      <c r="K65" s="33"/>
      <c r="L65" s="5"/>
      <c r="M65" s="5"/>
    </row>
    <row r="66" spans="1:13">
      <c r="A66" s="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5"/>
      <c r="M66" s="5"/>
    </row>
    <row r="67" spans="1:13">
      <c r="A67" s="11" t="s">
        <v>147</v>
      </c>
      <c r="B67" s="12" t="s">
        <v>1106</v>
      </c>
      <c r="C67" s="12" t="s">
        <v>294</v>
      </c>
      <c r="D67" s="12" t="s">
        <v>294</v>
      </c>
      <c r="E67" s="12" t="s">
        <v>294</v>
      </c>
      <c r="F67" s="12" t="s">
        <v>1107</v>
      </c>
      <c r="G67" s="12"/>
      <c r="H67" s="12"/>
      <c r="I67" s="15" t="s">
        <v>295</v>
      </c>
      <c r="J67" s="13">
        <v>1809</v>
      </c>
      <c r="K67" s="12" t="s">
        <v>296</v>
      </c>
      <c r="L67" s="5"/>
      <c r="M67" s="5"/>
    </row>
    <row r="68" spans="1:13">
      <c r="A68" s="5"/>
      <c r="B68" s="13">
        <v>15097</v>
      </c>
      <c r="C68" s="13">
        <v>15830</v>
      </c>
      <c r="D68" s="13">
        <v>700</v>
      </c>
      <c r="E68" s="13">
        <v>2245</v>
      </c>
      <c r="F68" s="13">
        <v>1556</v>
      </c>
      <c r="G68" s="13"/>
      <c r="H68" s="13"/>
      <c r="I68" s="13">
        <v>67</v>
      </c>
      <c r="J68" s="13"/>
      <c r="K68" s="14"/>
      <c r="L68" s="5"/>
      <c r="M68" s="5"/>
    </row>
    <row r="69" spans="1:13">
      <c r="A69" s="5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5"/>
      <c r="M69" s="5"/>
    </row>
    <row r="70" spans="1:13">
      <c r="A70" s="34" t="s">
        <v>152</v>
      </c>
      <c r="B70" s="32" t="s">
        <v>1108</v>
      </c>
      <c r="C70" s="32"/>
      <c r="D70" s="32"/>
      <c r="E70" s="32"/>
      <c r="F70" s="32" t="s">
        <v>1108</v>
      </c>
      <c r="G70" s="32"/>
      <c r="H70" s="32"/>
      <c r="I70" s="32"/>
      <c r="J70" s="30">
        <v>3029</v>
      </c>
      <c r="K70" s="32" t="s">
        <v>1109</v>
      </c>
      <c r="L70" s="5"/>
      <c r="M70" s="5"/>
    </row>
    <row r="71" spans="1:13">
      <c r="A71" s="31"/>
      <c r="B71" s="30">
        <v>8908</v>
      </c>
      <c r="C71" s="30"/>
      <c r="D71" s="30"/>
      <c r="E71" s="30"/>
      <c r="F71" s="30">
        <v>610</v>
      </c>
      <c r="G71" s="30"/>
      <c r="H71" s="30"/>
      <c r="I71" s="30"/>
      <c r="J71" s="30"/>
      <c r="K71" s="33"/>
      <c r="L71" s="5"/>
      <c r="M71" s="5"/>
    </row>
    <row r="72" spans="1:13">
      <c r="A72" s="5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5"/>
      <c r="M72" s="5"/>
    </row>
    <row r="73" spans="1:13">
      <c r="A73" s="11" t="s">
        <v>156</v>
      </c>
      <c r="B73" s="12" t="s">
        <v>1110</v>
      </c>
      <c r="C73" s="12" t="s">
        <v>1111</v>
      </c>
      <c r="D73" s="12" t="s">
        <v>1112</v>
      </c>
      <c r="E73" s="12" t="s">
        <v>1111</v>
      </c>
      <c r="F73" s="12" t="s">
        <v>1112</v>
      </c>
      <c r="G73" s="12"/>
      <c r="H73" s="12"/>
      <c r="I73" s="15"/>
      <c r="J73" s="13">
        <v>1618</v>
      </c>
      <c r="K73" s="12" t="s">
        <v>1113</v>
      </c>
      <c r="L73" s="5"/>
      <c r="M73" s="5"/>
    </row>
    <row r="74" spans="1:13">
      <c r="A74" s="5"/>
      <c r="B74" s="13">
        <v>14008</v>
      </c>
      <c r="C74" s="13">
        <v>6344</v>
      </c>
      <c r="D74" s="13">
        <v>947</v>
      </c>
      <c r="E74" s="13">
        <v>1206</v>
      </c>
      <c r="F74" s="13">
        <v>602</v>
      </c>
      <c r="G74" s="13"/>
      <c r="H74" s="13"/>
      <c r="I74" s="13"/>
      <c r="J74" s="13"/>
      <c r="K74" s="14"/>
      <c r="L74" s="5"/>
      <c r="M74" s="5"/>
    </row>
    <row r="75" spans="1:13">
      <c r="A75" s="5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5"/>
      <c r="M75" s="5"/>
    </row>
    <row r="76" spans="1:13">
      <c r="A76" s="34" t="s">
        <v>163</v>
      </c>
      <c r="B76" s="32" t="s">
        <v>164</v>
      </c>
      <c r="C76" s="32" t="s">
        <v>1114</v>
      </c>
      <c r="D76" s="32"/>
      <c r="E76" s="32" t="s">
        <v>1115</v>
      </c>
      <c r="F76" s="32" t="s">
        <v>789</v>
      </c>
      <c r="G76" s="32"/>
      <c r="H76" s="32"/>
      <c r="I76" s="29"/>
      <c r="J76" s="30">
        <v>2062</v>
      </c>
      <c r="K76" s="32" t="s">
        <v>297</v>
      </c>
      <c r="L76" s="5"/>
      <c r="M76" s="5"/>
    </row>
    <row r="77" spans="1:13">
      <c r="A77" s="31"/>
      <c r="B77" s="30">
        <v>16631</v>
      </c>
      <c r="C77" s="30">
        <v>5567</v>
      </c>
      <c r="D77" s="30"/>
      <c r="E77" s="30">
        <v>2145</v>
      </c>
      <c r="F77" s="30">
        <v>1186</v>
      </c>
      <c r="G77" s="30"/>
      <c r="H77" s="30"/>
      <c r="I77" s="30"/>
      <c r="J77" s="30"/>
      <c r="K77" s="33"/>
      <c r="L77" s="5"/>
      <c r="M77" s="5"/>
    </row>
    <row r="78" spans="1:13">
      <c r="A78" s="5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5"/>
      <c r="M78" s="5"/>
    </row>
    <row r="79" spans="1:13">
      <c r="A79" s="11" t="s">
        <v>168</v>
      </c>
      <c r="B79" s="12" t="s">
        <v>1116</v>
      </c>
      <c r="C79" s="12"/>
      <c r="D79" s="12"/>
      <c r="E79" s="12"/>
      <c r="F79" s="12" t="s">
        <v>1116</v>
      </c>
      <c r="G79" s="12"/>
      <c r="H79" s="12"/>
      <c r="I79" s="15"/>
      <c r="J79" s="13">
        <v>5635</v>
      </c>
      <c r="K79" s="12" t="s">
        <v>1117</v>
      </c>
      <c r="L79" s="5"/>
      <c r="M79" s="5"/>
    </row>
    <row r="80" spans="1:13">
      <c r="A80" s="5"/>
      <c r="B80" s="13">
        <v>10729</v>
      </c>
      <c r="C80" s="13"/>
      <c r="D80" s="13"/>
      <c r="E80" s="13"/>
      <c r="F80" s="13">
        <v>959</v>
      </c>
      <c r="G80" s="13"/>
      <c r="H80" s="13"/>
      <c r="I80" s="13"/>
      <c r="J80" s="13"/>
      <c r="K80" s="14"/>
      <c r="L80" s="5"/>
      <c r="M80" s="5"/>
    </row>
    <row r="81" spans="1:13">
      <c r="A81" s="5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5"/>
      <c r="M81" s="5"/>
    </row>
    <row r="82" spans="1:13">
      <c r="A82" s="28" t="s">
        <v>174</v>
      </c>
      <c r="B82" s="32" t="s">
        <v>298</v>
      </c>
      <c r="C82" s="32" t="s">
        <v>1118</v>
      </c>
      <c r="D82" s="32" t="s">
        <v>298</v>
      </c>
      <c r="E82" s="32" t="s">
        <v>1118</v>
      </c>
      <c r="F82" s="32"/>
      <c r="G82" s="32"/>
      <c r="H82" s="32"/>
      <c r="I82" s="32"/>
      <c r="J82" s="30">
        <v>2594</v>
      </c>
      <c r="K82" s="32" t="s">
        <v>299</v>
      </c>
      <c r="L82" s="5"/>
      <c r="M82" s="5"/>
    </row>
    <row r="83" spans="1:13">
      <c r="A83" s="31"/>
      <c r="B83" s="30">
        <v>14473</v>
      </c>
      <c r="C83" s="30">
        <v>9609</v>
      </c>
      <c r="D83" s="30">
        <v>791</v>
      </c>
      <c r="E83" s="30">
        <v>1434</v>
      </c>
      <c r="F83" s="30"/>
      <c r="G83" s="30"/>
      <c r="H83" s="30"/>
      <c r="I83" s="30"/>
      <c r="J83" s="30"/>
      <c r="K83" s="33"/>
      <c r="L83" s="5"/>
      <c r="M83" s="5"/>
    </row>
    <row r="84" spans="1:1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>
      <c r="A85" s="8" t="s">
        <v>176</v>
      </c>
      <c r="B85" s="12" t="s">
        <v>1119</v>
      </c>
      <c r="C85" s="12"/>
      <c r="D85" s="12" t="s">
        <v>1120</v>
      </c>
      <c r="E85" s="12"/>
      <c r="F85" s="12"/>
      <c r="G85" s="12"/>
      <c r="H85" s="12"/>
      <c r="I85" s="15"/>
      <c r="J85" s="13">
        <v>6507</v>
      </c>
      <c r="K85" s="12" t="s">
        <v>1121</v>
      </c>
      <c r="L85" s="5">
        <f>SUM(B85:J86)</f>
        <v>20551</v>
      </c>
      <c r="M85" s="5"/>
    </row>
    <row r="86" spans="1:13">
      <c r="A86" s="5"/>
      <c r="B86" s="13">
        <v>12517</v>
      </c>
      <c r="C86" s="13"/>
      <c r="D86" s="13">
        <v>1527</v>
      </c>
      <c r="E86" s="13"/>
      <c r="F86" s="13"/>
      <c r="G86" s="13"/>
      <c r="H86" s="13"/>
      <c r="I86" s="13"/>
      <c r="J86" s="13"/>
      <c r="K86" s="14"/>
      <c r="L86" s="5"/>
      <c r="M86" s="5"/>
    </row>
    <row r="87" spans="1:13">
      <c r="A87" s="5"/>
      <c r="B87" s="13"/>
      <c r="C87" s="13"/>
      <c r="D87" s="13"/>
      <c r="E87" s="13"/>
      <c r="F87" s="13"/>
      <c r="G87" s="13"/>
      <c r="H87" s="13"/>
      <c r="I87" s="13"/>
      <c r="J87" s="13"/>
      <c r="K87" s="14"/>
      <c r="L87" s="5"/>
      <c r="M87" s="5"/>
    </row>
    <row r="88" spans="1:13">
      <c r="A88" s="34" t="s">
        <v>179</v>
      </c>
      <c r="B88" s="29" t="s">
        <v>256</v>
      </c>
      <c r="C88" s="29" t="s">
        <v>1122</v>
      </c>
      <c r="D88" s="29" t="s">
        <v>1123</v>
      </c>
      <c r="E88" s="29" t="s">
        <v>1122</v>
      </c>
      <c r="F88" s="29" t="s">
        <v>256</v>
      </c>
      <c r="G88" s="29"/>
      <c r="H88" s="29"/>
      <c r="I88" s="29"/>
      <c r="J88" s="30">
        <v>2583</v>
      </c>
      <c r="K88" s="29" t="s">
        <v>257</v>
      </c>
      <c r="L88" s="5">
        <f>SUM(B88:J89)</f>
        <v>25415</v>
      </c>
      <c r="M88" s="5"/>
    </row>
    <row r="89" spans="1:13">
      <c r="A89" s="31"/>
      <c r="B89" s="30">
        <v>13249</v>
      </c>
      <c r="C89" s="30">
        <v>6716</v>
      </c>
      <c r="D89" s="30">
        <v>1017</v>
      </c>
      <c r="E89" s="30">
        <v>862</v>
      </c>
      <c r="F89" s="30">
        <v>988</v>
      </c>
      <c r="G89" s="30"/>
      <c r="H89" s="30"/>
      <c r="I89" s="30"/>
      <c r="J89" s="30"/>
      <c r="K89" s="30"/>
      <c r="L89" s="5"/>
      <c r="M89" s="5"/>
    </row>
    <row r="90" spans="1:13">
      <c r="A90" s="5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5"/>
      <c r="M90" s="5"/>
    </row>
    <row r="91" spans="1:13">
      <c r="A91" s="11" t="s">
        <v>181</v>
      </c>
      <c r="B91" s="12" t="s">
        <v>790</v>
      </c>
      <c r="C91" s="12"/>
      <c r="D91" s="12"/>
      <c r="E91" s="12"/>
      <c r="F91" s="12" t="s">
        <v>791</v>
      </c>
      <c r="G91" s="12"/>
      <c r="H91" s="12"/>
      <c r="I91" s="15"/>
      <c r="J91" s="13">
        <v>3039</v>
      </c>
      <c r="K91" s="15" t="s">
        <v>792</v>
      </c>
      <c r="L91" s="5">
        <f>SUM(B91:J92)</f>
        <v>23937</v>
      </c>
      <c r="M91" s="5"/>
    </row>
    <row r="92" spans="1:13">
      <c r="A92" s="5"/>
      <c r="B92" s="13">
        <v>20100</v>
      </c>
      <c r="C92" s="13"/>
      <c r="D92" s="13"/>
      <c r="E92" s="13"/>
      <c r="F92" s="13">
        <v>798</v>
      </c>
      <c r="G92" s="13"/>
      <c r="H92" s="13"/>
      <c r="I92" s="13"/>
      <c r="J92" s="13"/>
      <c r="K92" s="13"/>
      <c r="L92" s="5"/>
      <c r="M92" s="5"/>
    </row>
    <row r="93" spans="1:1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33" t="s">
        <v>4</v>
      </c>
      <c r="B94" s="32" t="s">
        <v>793</v>
      </c>
      <c r="C94" s="32" t="s">
        <v>486</v>
      </c>
      <c r="D94" s="32" t="s">
        <v>486</v>
      </c>
      <c r="E94" s="32" t="s">
        <v>486</v>
      </c>
      <c r="F94" s="32"/>
      <c r="G94" s="32"/>
      <c r="H94" s="32"/>
      <c r="I94" s="32"/>
      <c r="J94" s="30">
        <v>1788</v>
      </c>
      <c r="K94" s="32" t="s">
        <v>794</v>
      </c>
      <c r="L94" s="5">
        <f>SUM(B94:J95)</f>
        <v>17769</v>
      </c>
      <c r="M94" s="5"/>
    </row>
    <row r="95" spans="1:13">
      <c r="A95" s="30"/>
      <c r="B95" s="30">
        <v>9745</v>
      </c>
      <c r="C95" s="30">
        <v>5029</v>
      </c>
      <c r="D95" s="30">
        <v>439</v>
      </c>
      <c r="E95" s="30">
        <v>768</v>
      </c>
      <c r="F95" s="30"/>
      <c r="G95" s="30"/>
      <c r="H95" s="30"/>
      <c r="I95" s="30"/>
      <c r="J95" s="30"/>
      <c r="K95" s="33"/>
      <c r="L95" s="5"/>
      <c r="M95" s="5"/>
    </row>
    <row r="96" spans="1:13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5"/>
      <c r="M96" s="5"/>
    </row>
    <row r="97" spans="1:13">
      <c r="A97" s="14" t="s">
        <v>12</v>
      </c>
      <c r="B97" s="12" t="s">
        <v>223</v>
      </c>
      <c r="C97" s="12"/>
      <c r="D97" s="12"/>
      <c r="E97" s="12"/>
      <c r="F97" s="12" t="s">
        <v>223</v>
      </c>
      <c r="G97" s="12"/>
      <c r="H97" s="12"/>
      <c r="I97" s="12"/>
      <c r="J97" s="13">
        <v>3145</v>
      </c>
      <c r="K97" s="12" t="s">
        <v>282</v>
      </c>
      <c r="L97" s="5">
        <f>SUM(B97:J98)</f>
        <v>18811</v>
      </c>
      <c r="M97" s="5"/>
    </row>
    <row r="98" spans="1:13">
      <c r="A98" s="13"/>
      <c r="B98" s="13">
        <v>14973</v>
      </c>
      <c r="C98" s="13"/>
      <c r="D98" s="13"/>
      <c r="E98" s="13"/>
      <c r="F98" s="13">
        <v>693</v>
      </c>
      <c r="G98" s="13"/>
      <c r="H98" s="13"/>
      <c r="I98" s="13"/>
      <c r="J98" s="13"/>
      <c r="K98" s="14"/>
      <c r="L98" s="5"/>
      <c r="M98" s="5"/>
    </row>
    <row r="99" spans="1:13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5"/>
      <c r="M99" s="5"/>
    </row>
    <row r="100" spans="1:13">
      <c r="A100" s="33" t="s">
        <v>19</v>
      </c>
      <c r="B100" s="32" t="s">
        <v>20</v>
      </c>
      <c r="C100" s="32"/>
      <c r="D100" s="32"/>
      <c r="E100" s="32"/>
      <c r="F100" s="32"/>
      <c r="G100" s="32"/>
      <c r="H100" s="32"/>
      <c r="I100" s="32"/>
      <c r="J100" s="30">
        <v>3423</v>
      </c>
      <c r="K100" s="32" t="s">
        <v>21</v>
      </c>
      <c r="L100" s="5">
        <f>SUM(B100:J101)</f>
        <v>21488</v>
      </c>
      <c r="M100" s="5"/>
    </row>
    <row r="101" spans="1:13">
      <c r="A101" s="30"/>
      <c r="B101" s="30">
        <v>18065</v>
      </c>
      <c r="C101" s="30"/>
      <c r="D101" s="30"/>
      <c r="E101" s="30"/>
      <c r="F101" s="30"/>
      <c r="G101" s="30"/>
      <c r="H101" s="30"/>
      <c r="I101" s="30"/>
      <c r="J101" s="30"/>
      <c r="K101" s="33"/>
      <c r="L101" s="5"/>
      <c r="M101" s="5"/>
    </row>
    <row r="102" spans="1:13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5"/>
      <c r="M102" s="5"/>
    </row>
    <row r="103" spans="1:13">
      <c r="A103" s="14" t="s">
        <v>30</v>
      </c>
      <c r="B103" s="12" t="s">
        <v>795</v>
      </c>
      <c r="C103" s="12"/>
      <c r="D103" s="12"/>
      <c r="E103" s="12"/>
      <c r="F103" s="12" t="s">
        <v>796</v>
      </c>
      <c r="G103" s="12"/>
      <c r="H103" s="12"/>
      <c r="I103" s="12"/>
      <c r="J103" s="13">
        <v>3607</v>
      </c>
      <c r="K103" s="12" t="s">
        <v>797</v>
      </c>
      <c r="L103" s="5">
        <f>SUM(B103:J104)</f>
        <v>25168</v>
      </c>
      <c r="M103" s="5"/>
    </row>
    <row r="104" spans="1:13">
      <c r="A104" s="13"/>
      <c r="B104" s="13">
        <v>20240</v>
      </c>
      <c r="C104" s="13"/>
      <c r="D104" s="13"/>
      <c r="E104" s="13"/>
      <c r="F104" s="13">
        <v>1321</v>
      </c>
      <c r="G104" s="13"/>
      <c r="H104" s="13"/>
      <c r="I104" s="14"/>
      <c r="J104" s="13"/>
      <c r="K104" s="14"/>
      <c r="L104" s="5"/>
      <c r="M104" s="5"/>
    </row>
    <row r="105" spans="1:13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5"/>
      <c r="M105" s="5"/>
    </row>
    <row r="106" spans="1:13">
      <c r="A106" s="33" t="s">
        <v>34</v>
      </c>
      <c r="B106" s="32" t="s">
        <v>273</v>
      </c>
      <c r="C106" s="32"/>
      <c r="D106" s="32"/>
      <c r="E106" s="32"/>
      <c r="F106" s="32" t="s">
        <v>273</v>
      </c>
      <c r="G106" s="32"/>
      <c r="H106" s="32"/>
      <c r="I106" s="32"/>
      <c r="J106" s="30">
        <v>4180</v>
      </c>
      <c r="K106" s="32" t="s">
        <v>274</v>
      </c>
      <c r="L106" s="5">
        <f>SUM(B106:J107)</f>
        <v>14297</v>
      </c>
      <c r="M106" s="5"/>
    </row>
    <row r="107" spans="1:13">
      <c r="A107" s="30"/>
      <c r="B107" s="30">
        <v>8995</v>
      </c>
      <c r="C107" s="30"/>
      <c r="D107" s="30"/>
      <c r="E107" s="30"/>
      <c r="F107" s="30">
        <v>1122</v>
      </c>
      <c r="G107" s="30"/>
      <c r="H107" s="30"/>
      <c r="I107" s="33"/>
      <c r="J107" s="30"/>
      <c r="K107" s="33"/>
      <c r="L107" s="5"/>
      <c r="M107" s="5"/>
    </row>
    <row r="108" spans="1:13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5"/>
      <c r="M108" s="5"/>
    </row>
    <row r="109" spans="1:13">
      <c r="A109" s="14" t="s">
        <v>41</v>
      </c>
      <c r="B109" s="12" t="s">
        <v>42</v>
      </c>
      <c r="C109" s="12"/>
      <c r="D109" s="12"/>
      <c r="E109" s="12"/>
      <c r="F109" s="12" t="s">
        <v>957</v>
      </c>
      <c r="G109" s="12"/>
      <c r="H109" s="12"/>
      <c r="I109" s="12"/>
      <c r="J109" s="13">
        <v>3135</v>
      </c>
      <c r="K109" s="12" t="s">
        <v>43</v>
      </c>
      <c r="L109" s="5">
        <f>SUM(B109:J110)</f>
        <v>13932</v>
      </c>
      <c r="M109" s="5"/>
    </row>
    <row r="110" spans="1:13">
      <c r="A110" s="13"/>
      <c r="B110" s="13">
        <v>10143</v>
      </c>
      <c r="C110" s="13"/>
      <c r="D110" s="13"/>
      <c r="E110" s="13"/>
      <c r="F110" s="13">
        <v>654</v>
      </c>
      <c r="G110" s="13"/>
      <c r="H110" s="13"/>
      <c r="I110" s="14"/>
      <c r="J110" s="13"/>
      <c r="K110" s="14"/>
      <c r="L110" s="5"/>
      <c r="M110" s="5"/>
    </row>
    <row r="111" spans="1:13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5"/>
      <c r="M111" s="5"/>
    </row>
    <row r="112" spans="1:13">
      <c r="A112" s="33" t="s">
        <v>47</v>
      </c>
      <c r="B112" s="32" t="s">
        <v>300</v>
      </c>
      <c r="C112" s="32"/>
      <c r="D112" s="32"/>
      <c r="E112" s="32"/>
      <c r="F112" s="32" t="s">
        <v>300</v>
      </c>
      <c r="G112" s="32"/>
      <c r="H112" s="32"/>
      <c r="I112" s="32"/>
      <c r="J112" s="30">
        <v>5062</v>
      </c>
      <c r="K112" s="32" t="s">
        <v>301</v>
      </c>
      <c r="L112" s="5">
        <f>SUM(B112:J113)</f>
        <v>17995</v>
      </c>
      <c r="M112" s="5"/>
    </row>
    <row r="113" spans="1:13">
      <c r="A113" s="30"/>
      <c r="B113" s="30">
        <v>11501</v>
      </c>
      <c r="C113" s="30"/>
      <c r="D113" s="30"/>
      <c r="E113" s="30"/>
      <c r="F113" s="30">
        <v>1432</v>
      </c>
      <c r="G113" s="30"/>
      <c r="H113" s="30"/>
      <c r="I113" s="30"/>
      <c r="J113" s="30"/>
      <c r="K113" s="33"/>
      <c r="L113" s="5"/>
      <c r="M113" s="5"/>
    </row>
    <row r="114" spans="1:13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5"/>
      <c r="M114" s="5"/>
    </row>
    <row r="115" spans="1:13">
      <c r="A115" s="14" t="s">
        <v>53</v>
      </c>
      <c r="B115" s="12" t="s">
        <v>54</v>
      </c>
      <c r="C115" s="12" t="s">
        <v>719</v>
      </c>
      <c r="D115" s="12"/>
      <c r="E115" s="12"/>
      <c r="F115" s="12" t="s">
        <v>302</v>
      </c>
      <c r="G115" s="12"/>
      <c r="H115" s="12"/>
      <c r="I115" s="15"/>
      <c r="J115" s="13">
        <v>1554</v>
      </c>
      <c r="K115" s="12" t="s">
        <v>55</v>
      </c>
      <c r="L115" s="5">
        <f>SUM(B115:J116)</f>
        <v>16024</v>
      </c>
      <c r="M115" s="5"/>
    </row>
    <row r="116" spans="1:13">
      <c r="A116" s="13"/>
      <c r="B116" s="13">
        <v>10988</v>
      </c>
      <c r="C116" s="13">
        <v>2300</v>
      </c>
      <c r="D116" s="13"/>
      <c r="E116" s="13"/>
      <c r="F116" s="13">
        <v>1182</v>
      </c>
      <c r="G116" s="13"/>
      <c r="H116" s="13"/>
      <c r="I116" s="13"/>
      <c r="J116" s="13"/>
      <c r="K116" s="14"/>
      <c r="L116" s="5"/>
      <c r="M116" s="5"/>
    </row>
    <row r="117" spans="1:13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5"/>
      <c r="M117" s="5"/>
    </row>
    <row r="118" spans="1:13">
      <c r="A118" s="33" t="s">
        <v>61</v>
      </c>
      <c r="B118" s="32" t="s">
        <v>231</v>
      </c>
      <c r="C118" s="32" t="s">
        <v>1124</v>
      </c>
      <c r="D118" s="32" t="s">
        <v>231</v>
      </c>
      <c r="E118" s="32" t="s">
        <v>1124</v>
      </c>
      <c r="F118" s="32" t="s">
        <v>231</v>
      </c>
      <c r="G118" s="32"/>
      <c r="H118" s="32"/>
      <c r="I118" s="32"/>
      <c r="J118" s="30">
        <v>1625</v>
      </c>
      <c r="K118" s="32" t="s">
        <v>303</v>
      </c>
      <c r="L118" s="5">
        <f>SUM(B118:J119)</f>
        <v>14839</v>
      </c>
      <c r="M118" s="5"/>
    </row>
    <row r="119" spans="1:13">
      <c r="A119" s="30"/>
      <c r="B119" s="30">
        <v>8412</v>
      </c>
      <c r="C119" s="30">
        <v>3405</v>
      </c>
      <c r="D119" s="30">
        <v>359</v>
      </c>
      <c r="E119" s="30">
        <v>605</v>
      </c>
      <c r="F119" s="30">
        <v>433</v>
      </c>
      <c r="G119" s="30"/>
      <c r="H119" s="30"/>
      <c r="I119" s="30"/>
      <c r="J119" s="30"/>
      <c r="K119" s="33"/>
      <c r="L119" s="5"/>
      <c r="M119" s="5"/>
    </row>
    <row r="120" spans="1:1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5"/>
      <c r="M120" s="5"/>
    </row>
    <row r="121" spans="1:13">
      <c r="A121" s="14" t="s">
        <v>65</v>
      </c>
      <c r="B121" s="12" t="s">
        <v>304</v>
      </c>
      <c r="C121" s="12"/>
      <c r="D121" s="12"/>
      <c r="E121" s="12"/>
      <c r="F121" s="12" t="s">
        <v>304</v>
      </c>
      <c r="G121" s="12"/>
      <c r="H121" s="12"/>
      <c r="I121" s="12"/>
      <c r="J121" s="13">
        <v>2391</v>
      </c>
      <c r="K121" s="12" t="s">
        <v>305</v>
      </c>
      <c r="L121" s="5">
        <f>SUM(B121:J122)</f>
        <v>10237</v>
      </c>
      <c r="M121" s="5"/>
    </row>
    <row r="122" spans="1:13">
      <c r="A122" s="13"/>
      <c r="B122" s="13">
        <v>7086</v>
      </c>
      <c r="C122" s="13"/>
      <c r="D122" s="13"/>
      <c r="E122" s="13"/>
      <c r="F122" s="13">
        <v>760</v>
      </c>
      <c r="G122" s="13"/>
      <c r="H122" s="13"/>
      <c r="I122" s="14"/>
      <c r="J122" s="13"/>
      <c r="K122" s="14"/>
      <c r="L122" s="5"/>
      <c r="M122" s="5"/>
    </row>
    <row r="123" spans="1:1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5"/>
      <c r="M123" s="5"/>
    </row>
    <row r="124" spans="1:13">
      <c r="A124" s="33" t="s">
        <v>71</v>
      </c>
      <c r="B124" s="32" t="s">
        <v>275</v>
      </c>
      <c r="C124" s="32" t="s">
        <v>991</v>
      </c>
      <c r="D124" s="32"/>
      <c r="E124" s="32" t="s">
        <v>991</v>
      </c>
      <c r="F124" s="32"/>
      <c r="G124" s="32"/>
      <c r="H124" s="32"/>
      <c r="I124" s="32"/>
      <c r="J124" s="30">
        <v>3005</v>
      </c>
      <c r="K124" s="32" t="s">
        <v>992</v>
      </c>
      <c r="L124" s="5">
        <f>SUM(B124:J125)</f>
        <v>20659</v>
      </c>
      <c r="M124" s="5"/>
    </row>
    <row r="125" spans="1:13">
      <c r="A125" s="30"/>
      <c r="B125" s="30">
        <v>16527</v>
      </c>
      <c r="C125" s="30">
        <v>973</v>
      </c>
      <c r="D125" s="30"/>
      <c r="E125" s="30">
        <v>154</v>
      </c>
      <c r="F125" s="30"/>
      <c r="G125" s="30"/>
      <c r="H125" s="30"/>
      <c r="I125" s="33"/>
      <c r="J125" s="30"/>
      <c r="K125" s="33"/>
      <c r="L125" s="5"/>
      <c r="M125" s="5"/>
    </row>
    <row r="126" spans="1:1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5"/>
      <c r="M126" s="5"/>
    </row>
    <row r="127" spans="1:13">
      <c r="A127" s="14" t="s">
        <v>75</v>
      </c>
      <c r="B127" s="12" t="s">
        <v>76</v>
      </c>
      <c r="C127" s="12" t="s">
        <v>1125</v>
      </c>
      <c r="D127" s="12"/>
      <c r="E127" s="12" t="s">
        <v>1125</v>
      </c>
      <c r="F127" s="12" t="s">
        <v>306</v>
      </c>
      <c r="G127" s="12"/>
      <c r="H127" s="12"/>
      <c r="I127" s="12"/>
      <c r="J127" s="13">
        <v>2276</v>
      </c>
      <c r="K127" s="12" t="s">
        <v>77</v>
      </c>
      <c r="L127" s="5">
        <f>SUM(B127:J128)</f>
        <v>23371</v>
      </c>
      <c r="M127" s="5"/>
    </row>
    <row r="128" spans="1:13">
      <c r="A128" s="13"/>
      <c r="B128" s="13">
        <v>15839</v>
      </c>
      <c r="C128" s="13">
        <v>3764</v>
      </c>
      <c r="D128" s="13"/>
      <c r="E128" s="13">
        <v>622</v>
      </c>
      <c r="F128" s="13">
        <v>870</v>
      </c>
      <c r="G128" s="13"/>
      <c r="H128" s="13"/>
      <c r="I128" s="13"/>
      <c r="J128" s="13"/>
      <c r="K128" s="14"/>
      <c r="L128" s="5"/>
      <c r="M128" s="5"/>
    </row>
    <row r="129" spans="1:1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5"/>
      <c r="M129" s="5"/>
    </row>
    <row r="130" spans="1:13">
      <c r="A130" s="33" t="s">
        <v>82</v>
      </c>
      <c r="B130" s="32" t="s">
        <v>961</v>
      </c>
      <c r="C130" s="32" t="s">
        <v>1126</v>
      </c>
      <c r="D130" s="32"/>
      <c r="E130" s="32"/>
      <c r="F130" s="32"/>
      <c r="G130" s="32"/>
      <c r="H130" s="32"/>
      <c r="I130" s="32"/>
      <c r="J130" s="30">
        <v>2543</v>
      </c>
      <c r="K130" s="32" t="s">
        <v>963</v>
      </c>
      <c r="L130" s="5">
        <f>SUM(B130:J131)</f>
        <v>19166</v>
      </c>
      <c r="M130" s="5"/>
    </row>
    <row r="131" spans="1:13">
      <c r="A131" s="30"/>
      <c r="B131" s="30">
        <v>15363</v>
      </c>
      <c r="C131" s="30">
        <v>1260</v>
      </c>
      <c r="D131" s="30"/>
      <c r="E131" s="30"/>
      <c r="F131" s="30"/>
      <c r="G131" s="30"/>
      <c r="H131" s="30"/>
      <c r="I131" s="30"/>
      <c r="J131" s="30"/>
      <c r="K131" s="33"/>
      <c r="L131" s="5"/>
      <c r="M131" s="5"/>
    </row>
    <row r="132" spans="1:1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5"/>
      <c r="M132" s="5"/>
    </row>
    <row r="133" spans="1:13">
      <c r="A133" s="14" t="s">
        <v>85</v>
      </c>
      <c r="B133" s="12" t="s">
        <v>801</v>
      </c>
      <c r="C133" s="12" t="s">
        <v>804</v>
      </c>
      <c r="D133" s="12"/>
      <c r="E133" s="12" t="s">
        <v>804</v>
      </c>
      <c r="F133" s="12" t="s">
        <v>801</v>
      </c>
      <c r="G133" s="12"/>
      <c r="H133" s="12"/>
      <c r="I133" s="12"/>
      <c r="J133" s="13">
        <v>2187</v>
      </c>
      <c r="K133" s="12" t="s">
        <v>803</v>
      </c>
      <c r="L133" s="5">
        <f>SUM(B133:J134)</f>
        <v>21648</v>
      </c>
      <c r="M133" s="5"/>
    </row>
    <row r="134" spans="1:13">
      <c r="A134" s="13"/>
      <c r="B134" s="13">
        <v>16501</v>
      </c>
      <c r="C134" s="13">
        <v>1248</v>
      </c>
      <c r="D134" s="13"/>
      <c r="E134" s="13">
        <v>290</v>
      </c>
      <c r="F134" s="13">
        <v>1422</v>
      </c>
      <c r="G134" s="13"/>
      <c r="H134" s="13"/>
      <c r="I134" s="13"/>
      <c r="J134" s="13"/>
      <c r="K134" s="14"/>
      <c r="L134" s="5"/>
      <c r="M134" s="5"/>
    </row>
    <row r="135" spans="1:1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5"/>
      <c r="M135" s="5"/>
    </row>
    <row r="136" spans="1:13">
      <c r="A136" s="33" t="s">
        <v>90</v>
      </c>
      <c r="B136" s="32" t="s">
        <v>807</v>
      </c>
      <c r="C136" s="32" t="s">
        <v>1127</v>
      </c>
      <c r="D136" s="32"/>
      <c r="E136" s="32" t="s">
        <v>1127</v>
      </c>
      <c r="F136" s="32"/>
      <c r="G136" s="32"/>
      <c r="H136" s="32"/>
      <c r="I136" s="32"/>
      <c r="J136" s="30">
        <v>3716</v>
      </c>
      <c r="K136" s="32" t="s">
        <v>810</v>
      </c>
      <c r="L136" s="5">
        <f>SUM(B136:J137)</f>
        <v>24263</v>
      </c>
      <c r="M136" s="5"/>
    </row>
    <row r="137" spans="1:13">
      <c r="A137" s="30"/>
      <c r="B137" s="30">
        <v>16423</v>
      </c>
      <c r="C137" s="30">
        <v>3475</v>
      </c>
      <c r="D137" s="30"/>
      <c r="E137" s="30">
        <v>649</v>
      </c>
      <c r="F137" s="30"/>
      <c r="G137" s="30"/>
      <c r="H137" s="30"/>
      <c r="I137" s="33"/>
      <c r="J137" s="30"/>
      <c r="K137" s="33"/>
      <c r="L137" s="5"/>
      <c r="M137" s="5"/>
    </row>
    <row r="138" spans="1:1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5"/>
      <c r="M138" s="5"/>
    </row>
    <row r="139" spans="1:13">
      <c r="A139" s="14" t="s">
        <v>93</v>
      </c>
      <c r="B139" s="12" t="s">
        <v>188</v>
      </c>
      <c r="C139" s="12" t="s">
        <v>960</v>
      </c>
      <c r="D139" s="12"/>
      <c r="E139" s="12" t="s">
        <v>960</v>
      </c>
      <c r="F139" s="12" t="s">
        <v>188</v>
      </c>
      <c r="G139" s="12"/>
      <c r="H139" s="12"/>
      <c r="I139" s="12" t="s">
        <v>1128</v>
      </c>
      <c r="J139" s="13">
        <v>1143</v>
      </c>
      <c r="K139" s="12" t="s">
        <v>199</v>
      </c>
      <c r="L139" s="5">
        <f>SUM(B139:J140)</f>
        <v>17406</v>
      </c>
      <c r="M139" s="5"/>
    </row>
    <row r="140" spans="1:13">
      <c r="A140" s="13"/>
      <c r="B140" s="13">
        <v>8808</v>
      </c>
      <c r="C140" s="13">
        <v>5848</v>
      </c>
      <c r="D140" s="13"/>
      <c r="E140" s="13">
        <v>827</v>
      </c>
      <c r="F140" s="13">
        <v>595</v>
      </c>
      <c r="G140" s="13"/>
      <c r="H140" s="13"/>
      <c r="I140" s="13">
        <v>185</v>
      </c>
      <c r="J140" s="13"/>
      <c r="K140" s="14"/>
      <c r="L140" s="5"/>
      <c r="M140" s="5"/>
    </row>
    <row r="141" spans="1:1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5"/>
      <c r="M141" s="5"/>
    </row>
    <row r="142" spans="1:13">
      <c r="A142" s="33" t="s">
        <v>97</v>
      </c>
      <c r="B142" s="32" t="s">
        <v>812</v>
      </c>
      <c r="C142" s="32"/>
      <c r="D142" s="32" t="s">
        <v>812</v>
      </c>
      <c r="E142" s="32" t="s">
        <v>1129</v>
      </c>
      <c r="F142" s="32" t="s">
        <v>812</v>
      </c>
      <c r="G142" s="32"/>
      <c r="H142" s="32"/>
      <c r="I142" s="32"/>
      <c r="J142" s="30">
        <v>5461</v>
      </c>
      <c r="K142" s="32" t="s">
        <v>814</v>
      </c>
      <c r="L142" s="5">
        <f>SUM(B142:J143)</f>
        <v>19609</v>
      </c>
      <c r="M142" s="5"/>
    </row>
    <row r="143" spans="1:13">
      <c r="A143" s="30"/>
      <c r="B143" s="30">
        <v>10525</v>
      </c>
      <c r="C143" s="30"/>
      <c r="D143" s="30">
        <v>887</v>
      </c>
      <c r="E143" s="30">
        <v>2097</v>
      </c>
      <c r="F143" s="30">
        <v>639</v>
      </c>
      <c r="G143" s="30"/>
      <c r="H143" s="30"/>
      <c r="I143" s="33"/>
      <c r="J143" s="30"/>
      <c r="K143" s="33"/>
      <c r="L143" s="5"/>
      <c r="M143" s="5"/>
    </row>
    <row r="144" spans="1:1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5"/>
      <c r="M144" s="5"/>
    </row>
    <row r="145" spans="1:13">
      <c r="A145" s="14" t="s">
        <v>101</v>
      </c>
      <c r="B145" s="12" t="s">
        <v>200</v>
      </c>
      <c r="C145" s="12" t="s">
        <v>1130</v>
      </c>
      <c r="D145" s="12"/>
      <c r="E145" s="12" t="s">
        <v>1130</v>
      </c>
      <c r="F145" s="12" t="s">
        <v>200</v>
      </c>
      <c r="G145" s="12"/>
      <c r="H145" s="12"/>
      <c r="I145" s="12"/>
      <c r="J145" s="13">
        <v>1446</v>
      </c>
      <c r="K145" s="12" t="s">
        <v>102</v>
      </c>
      <c r="L145" s="5">
        <f>SUM(B145:J146)</f>
        <v>14508</v>
      </c>
      <c r="M145" s="5"/>
    </row>
    <row r="146" spans="1:13">
      <c r="A146" s="13"/>
      <c r="B146" s="13">
        <v>8155</v>
      </c>
      <c r="C146" s="13">
        <v>3943</v>
      </c>
      <c r="D146" s="13"/>
      <c r="E146" s="14">
        <v>514</v>
      </c>
      <c r="F146" s="14">
        <v>450</v>
      </c>
      <c r="G146" s="14"/>
      <c r="H146" s="14"/>
      <c r="I146" s="14"/>
      <c r="J146" s="13"/>
      <c r="K146" s="14"/>
      <c r="L146" s="5"/>
      <c r="M146" s="5"/>
    </row>
    <row r="147" spans="1:1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5"/>
      <c r="M147" s="5"/>
    </row>
    <row r="148" spans="1:13">
      <c r="A148" s="33" t="s">
        <v>106</v>
      </c>
      <c r="B148" s="32" t="s">
        <v>107</v>
      </c>
      <c r="C148" s="32" t="s">
        <v>1131</v>
      </c>
      <c r="D148" s="31"/>
      <c r="E148" s="32" t="s">
        <v>1131</v>
      </c>
      <c r="F148" s="32"/>
      <c r="G148" s="32"/>
      <c r="H148" s="32"/>
      <c r="I148" s="32"/>
      <c r="J148" s="30">
        <v>1808</v>
      </c>
      <c r="K148" s="32" t="s">
        <v>108</v>
      </c>
      <c r="L148" s="5">
        <f>SUM(B148:J149)</f>
        <v>16735</v>
      </c>
      <c r="M148" s="5"/>
    </row>
    <row r="149" spans="1:13">
      <c r="A149" s="30"/>
      <c r="B149" s="30">
        <v>9713</v>
      </c>
      <c r="C149" s="30">
        <v>4408</v>
      </c>
      <c r="D149" s="31"/>
      <c r="E149" s="30">
        <v>806</v>
      </c>
      <c r="F149" s="30"/>
      <c r="G149" s="30"/>
      <c r="H149" s="30"/>
      <c r="I149" s="33"/>
      <c r="J149" s="30"/>
      <c r="K149" s="33"/>
      <c r="L149" s="5"/>
      <c r="M149" s="5"/>
    </row>
    <row r="150" spans="1:1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5"/>
      <c r="M150" s="5"/>
    </row>
    <row r="151" spans="1:13">
      <c r="A151" s="14" t="s">
        <v>112</v>
      </c>
      <c r="B151" s="12" t="s">
        <v>261</v>
      </c>
      <c r="C151" s="12" t="s">
        <v>1132</v>
      </c>
      <c r="D151" s="12" t="s">
        <v>261</v>
      </c>
      <c r="E151" s="12" t="s">
        <v>1132</v>
      </c>
      <c r="F151" s="12" t="s">
        <v>261</v>
      </c>
      <c r="G151" s="12"/>
      <c r="H151" s="12"/>
      <c r="I151" s="12"/>
      <c r="J151" s="13">
        <v>1241</v>
      </c>
      <c r="K151" s="12" t="s">
        <v>262</v>
      </c>
      <c r="L151" s="5">
        <f>SUM(B151:J152)</f>
        <v>13316</v>
      </c>
      <c r="M151" s="5"/>
    </row>
    <row r="152" spans="1:13">
      <c r="A152" s="13"/>
      <c r="B152" s="13">
        <v>6690</v>
      </c>
      <c r="C152" s="13">
        <v>3987</v>
      </c>
      <c r="D152" s="13">
        <v>416</v>
      </c>
      <c r="E152" s="14">
        <v>672</v>
      </c>
      <c r="F152" s="14">
        <v>310</v>
      </c>
      <c r="G152" s="14"/>
      <c r="H152" s="14"/>
      <c r="I152" s="14"/>
      <c r="J152" s="13"/>
      <c r="K152" s="14"/>
      <c r="L152" s="5"/>
      <c r="M152" s="5"/>
    </row>
    <row r="153" spans="1:1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5"/>
      <c r="M153" s="5"/>
    </row>
    <row r="154" spans="1:13">
      <c r="A154" s="33" t="s">
        <v>116</v>
      </c>
      <c r="B154" s="32" t="s">
        <v>117</v>
      </c>
      <c r="C154" s="32" t="s">
        <v>1133</v>
      </c>
      <c r="D154" s="31"/>
      <c r="E154" s="32" t="s">
        <v>1133</v>
      </c>
      <c r="F154" s="32"/>
      <c r="G154" s="32"/>
      <c r="H154" s="32"/>
      <c r="I154" s="32"/>
      <c r="J154" s="30">
        <v>2501</v>
      </c>
      <c r="K154" s="32" t="s">
        <v>118</v>
      </c>
      <c r="L154" s="5">
        <f>SUM(B154:J155)</f>
        <v>20329</v>
      </c>
      <c r="M154" s="5"/>
    </row>
    <row r="155" spans="1:13">
      <c r="A155" s="30"/>
      <c r="B155" s="30">
        <v>15728</v>
      </c>
      <c r="C155" s="30">
        <v>1789</v>
      </c>
      <c r="D155" s="31"/>
      <c r="E155" s="30">
        <v>311</v>
      </c>
      <c r="F155" s="30"/>
      <c r="G155" s="30"/>
      <c r="H155" s="30"/>
      <c r="I155" s="30"/>
      <c r="J155" s="30"/>
      <c r="K155" s="33"/>
      <c r="L155" s="5"/>
      <c r="M155" s="5"/>
    </row>
    <row r="156" spans="1:1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5"/>
      <c r="M156" s="5"/>
    </row>
    <row r="157" spans="1:13">
      <c r="A157" s="14" t="s">
        <v>120</v>
      </c>
      <c r="B157" s="12" t="s">
        <v>121</v>
      </c>
      <c r="C157" s="12" t="s">
        <v>307</v>
      </c>
      <c r="D157" s="12"/>
      <c r="E157" s="12" t="s">
        <v>307</v>
      </c>
      <c r="F157" s="12" t="s">
        <v>1134</v>
      </c>
      <c r="G157" s="12"/>
      <c r="H157" s="12"/>
      <c r="I157" s="15"/>
      <c r="J157" s="13">
        <v>1407</v>
      </c>
      <c r="K157" s="12" t="s">
        <v>122</v>
      </c>
      <c r="L157" s="5">
        <f>SUM(B157:J158)</f>
        <v>11561</v>
      </c>
      <c r="M157" s="5"/>
    </row>
    <row r="158" spans="1:13">
      <c r="A158" s="13"/>
      <c r="B158" s="13">
        <v>7448</v>
      </c>
      <c r="C158" s="13">
        <v>1346</v>
      </c>
      <c r="D158" s="13"/>
      <c r="E158" s="13">
        <v>309</v>
      </c>
      <c r="F158" s="13">
        <v>1051</v>
      </c>
      <c r="G158" s="13"/>
      <c r="H158" s="13"/>
      <c r="I158" s="13"/>
      <c r="J158" s="13"/>
      <c r="K158" s="14"/>
      <c r="L158" s="5"/>
      <c r="M158" s="5"/>
    </row>
    <row r="159" spans="1:1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5"/>
      <c r="M159" s="5"/>
    </row>
    <row r="160" spans="1:13">
      <c r="A160" s="33" t="s">
        <v>134</v>
      </c>
      <c r="B160" s="32" t="s">
        <v>972</v>
      </c>
      <c r="C160" s="32" t="s">
        <v>1135</v>
      </c>
      <c r="D160" s="32"/>
      <c r="E160" s="32" t="s">
        <v>1135</v>
      </c>
      <c r="F160" s="32" t="s">
        <v>972</v>
      </c>
      <c r="G160" s="32"/>
      <c r="H160" s="32"/>
      <c r="I160" s="32"/>
      <c r="J160" s="30">
        <v>2886</v>
      </c>
      <c r="K160" s="32" t="s">
        <v>974</v>
      </c>
      <c r="L160" s="5">
        <f>SUM(B160:J161)</f>
        <v>37619</v>
      </c>
      <c r="M160" s="5"/>
    </row>
    <row r="161" spans="1:13">
      <c r="A161" s="30"/>
      <c r="B161" s="30">
        <v>24001</v>
      </c>
      <c r="C161" s="30">
        <v>2803</v>
      </c>
      <c r="D161" s="30"/>
      <c r="E161" s="30">
        <v>489</v>
      </c>
      <c r="F161" s="30">
        <v>7440</v>
      </c>
      <c r="G161" s="30"/>
      <c r="H161" s="30"/>
      <c r="I161" s="30"/>
      <c r="J161" s="30"/>
      <c r="K161" s="33"/>
      <c r="L161" s="5"/>
      <c r="M161" s="5"/>
    </row>
    <row r="162" spans="1:1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>
      <c r="A163" s="14" t="s">
        <v>139</v>
      </c>
      <c r="B163" s="12" t="s">
        <v>975</v>
      </c>
      <c r="C163" s="12" t="s">
        <v>1136</v>
      </c>
      <c r="D163" s="12"/>
      <c r="E163" s="12"/>
      <c r="F163" s="12"/>
      <c r="G163" s="12"/>
      <c r="H163" s="12"/>
      <c r="I163" s="12"/>
      <c r="J163" s="13">
        <v>2753</v>
      </c>
      <c r="K163" s="12" t="s">
        <v>977</v>
      </c>
      <c r="L163" s="5">
        <f>SUM(B163:J164)</f>
        <v>17126</v>
      </c>
      <c r="M163" s="5"/>
    </row>
    <row r="164" spans="1:13">
      <c r="A164" s="13" t="s">
        <v>978</v>
      </c>
      <c r="B164" s="13">
        <v>12892</v>
      </c>
      <c r="C164" s="13">
        <v>1481</v>
      </c>
      <c r="D164" s="13"/>
      <c r="E164" s="13"/>
      <c r="F164" s="13"/>
      <c r="G164" s="13"/>
      <c r="H164" s="13"/>
      <c r="I164" s="14"/>
      <c r="J164" s="13"/>
      <c r="K164" s="14"/>
      <c r="L164" s="5"/>
      <c r="M164" s="5"/>
    </row>
    <row r="165" spans="1:1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5"/>
      <c r="M165" s="5"/>
    </row>
    <row r="166" spans="1:13">
      <c r="A166" s="33" t="s">
        <v>142</v>
      </c>
      <c r="B166" s="32" t="s">
        <v>1137</v>
      </c>
      <c r="C166" s="32" t="s">
        <v>224</v>
      </c>
      <c r="D166" s="31"/>
      <c r="E166" s="32" t="s">
        <v>224</v>
      </c>
      <c r="F166" s="32" t="s">
        <v>1138</v>
      </c>
      <c r="G166" s="32"/>
      <c r="H166" s="32"/>
      <c r="I166" s="32"/>
      <c r="J166" s="30">
        <v>1742</v>
      </c>
      <c r="K166" s="32" t="s">
        <v>1139</v>
      </c>
      <c r="L166" s="5">
        <f>SUM(B166:J167)</f>
        <v>13178</v>
      </c>
      <c r="M166" s="5"/>
    </row>
    <row r="167" spans="1:13">
      <c r="A167" s="30"/>
      <c r="B167" s="30">
        <v>10338</v>
      </c>
      <c r="C167" s="30">
        <v>489</v>
      </c>
      <c r="D167" s="31"/>
      <c r="E167" s="30">
        <v>127</v>
      </c>
      <c r="F167" s="30">
        <v>482</v>
      </c>
      <c r="G167" s="30"/>
      <c r="H167" s="30"/>
      <c r="I167" s="33"/>
      <c r="J167" s="30"/>
      <c r="K167" s="33"/>
      <c r="L167" s="5"/>
      <c r="M167" s="5"/>
    </row>
    <row r="168" spans="1:1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5"/>
      <c r="M168" s="5"/>
    </row>
    <row r="169" spans="1:13">
      <c r="A169" s="14" t="s">
        <v>145</v>
      </c>
      <c r="B169" s="12" t="s">
        <v>982</v>
      </c>
      <c r="C169" s="12" t="s">
        <v>1140</v>
      </c>
      <c r="D169" s="12"/>
      <c r="E169" s="12" t="s">
        <v>1140</v>
      </c>
      <c r="F169" s="12" t="s">
        <v>982</v>
      </c>
      <c r="G169" s="12"/>
      <c r="H169" s="12"/>
      <c r="I169" s="12"/>
      <c r="J169" s="13">
        <v>1984</v>
      </c>
      <c r="K169" s="12" t="s">
        <v>985</v>
      </c>
      <c r="L169" s="5">
        <f>SUM(B169:J170)</f>
        <v>17859</v>
      </c>
      <c r="M169" s="5"/>
    </row>
    <row r="170" spans="1:13">
      <c r="A170" s="13"/>
      <c r="B170" s="13">
        <v>14685</v>
      </c>
      <c r="C170" s="13">
        <v>418</v>
      </c>
      <c r="D170" s="13"/>
      <c r="E170" s="13">
        <v>125</v>
      </c>
      <c r="F170" s="13">
        <v>647</v>
      </c>
      <c r="G170" s="13"/>
      <c r="H170" s="13"/>
      <c r="I170" s="14"/>
      <c r="J170" s="13"/>
      <c r="K170" s="14"/>
      <c r="L170" s="5"/>
      <c r="M170" s="5"/>
    </row>
    <row r="171" spans="1:1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5"/>
      <c r="M171" s="5"/>
    </row>
    <row r="172" spans="1:13">
      <c r="A172" s="33" t="s">
        <v>150</v>
      </c>
      <c r="B172" s="32" t="s">
        <v>825</v>
      </c>
      <c r="C172" s="32" t="s">
        <v>826</v>
      </c>
      <c r="D172" s="32"/>
      <c r="E172" s="32"/>
      <c r="F172" s="32"/>
      <c r="G172" s="32"/>
      <c r="H172" s="32"/>
      <c r="I172" s="32"/>
      <c r="J172" s="30">
        <v>2652</v>
      </c>
      <c r="K172" s="32" t="s">
        <v>827</v>
      </c>
      <c r="L172" s="5">
        <f>SUM(B172:J173)</f>
        <v>20782</v>
      </c>
      <c r="M172" s="5"/>
    </row>
    <row r="173" spans="1:13">
      <c r="A173" s="30"/>
      <c r="B173" s="30">
        <v>17705</v>
      </c>
      <c r="C173" s="30">
        <v>425</v>
      </c>
      <c r="D173" s="30"/>
      <c r="E173" s="30"/>
      <c r="F173" s="30"/>
      <c r="G173" s="30"/>
      <c r="H173" s="30"/>
      <c r="I173" s="30"/>
      <c r="J173" s="30"/>
      <c r="K173" s="33"/>
      <c r="L173" s="5"/>
      <c r="M173" s="5"/>
    </row>
    <row r="174" spans="1:1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5"/>
      <c r="M174" s="5"/>
    </row>
    <row r="175" spans="1:13">
      <c r="A175" s="14" t="s">
        <v>154</v>
      </c>
      <c r="B175" s="12" t="s">
        <v>1141</v>
      </c>
      <c r="C175" s="12" t="s">
        <v>987</v>
      </c>
      <c r="D175" s="12"/>
      <c r="E175" s="12"/>
      <c r="F175" s="12" t="s">
        <v>1141</v>
      </c>
      <c r="G175" s="12"/>
      <c r="H175" s="12"/>
      <c r="I175" s="12"/>
      <c r="J175" s="13">
        <v>2183</v>
      </c>
      <c r="K175" s="12" t="s">
        <v>1142</v>
      </c>
      <c r="L175" s="5">
        <f>SUM(B175:J176)</f>
        <v>28734</v>
      </c>
      <c r="M175" s="5"/>
    </row>
    <row r="176" spans="1:13">
      <c r="A176" s="13"/>
      <c r="B176" s="13">
        <v>21577</v>
      </c>
      <c r="C176" s="13">
        <v>652</v>
      </c>
      <c r="D176" s="13"/>
      <c r="E176" s="13"/>
      <c r="F176" s="13">
        <v>4322</v>
      </c>
      <c r="G176" s="13"/>
      <c r="H176" s="13"/>
      <c r="I176" s="13"/>
      <c r="J176" s="13"/>
      <c r="K176" s="13"/>
      <c r="L176" s="5"/>
      <c r="M176" s="5"/>
    </row>
    <row r="177" spans="1:1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5"/>
      <c r="M177" s="5"/>
    </row>
    <row r="178" spans="1:13">
      <c r="A178" s="33" t="s">
        <v>158</v>
      </c>
      <c r="B178" s="32" t="s">
        <v>159</v>
      </c>
      <c r="C178" s="32"/>
      <c r="D178" s="32"/>
      <c r="E178" s="32"/>
      <c r="F178" s="32" t="s">
        <v>504</v>
      </c>
      <c r="G178" s="32"/>
      <c r="H178" s="32"/>
      <c r="I178" s="32"/>
      <c r="J178" s="30">
        <v>2377</v>
      </c>
      <c r="K178" s="32" t="s">
        <v>160</v>
      </c>
      <c r="L178" s="5">
        <f>SUM(B178:J179)</f>
        <v>20922</v>
      </c>
      <c r="M178" s="5"/>
    </row>
    <row r="179" spans="1:13">
      <c r="A179" s="30"/>
      <c r="B179" s="30">
        <v>17518</v>
      </c>
      <c r="C179" s="30"/>
      <c r="D179" s="30"/>
      <c r="E179" s="30"/>
      <c r="F179" s="30">
        <v>1027</v>
      </c>
      <c r="G179" s="30"/>
      <c r="H179" s="30"/>
      <c r="I179" s="30"/>
      <c r="J179" s="30"/>
      <c r="K179" s="33"/>
      <c r="L179" s="5"/>
      <c r="M179" s="5"/>
    </row>
    <row r="180" spans="1:1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5"/>
      <c r="M180" s="5"/>
    </row>
    <row r="181" spans="1:13">
      <c r="A181" s="14" t="s">
        <v>166</v>
      </c>
      <c r="B181" s="12" t="s">
        <v>988</v>
      </c>
      <c r="C181" s="12"/>
      <c r="D181" s="12"/>
      <c r="E181" s="12" t="s">
        <v>989</v>
      </c>
      <c r="F181" s="12"/>
      <c r="G181" s="12"/>
      <c r="H181" s="12"/>
      <c r="I181" s="5"/>
      <c r="J181" s="13">
        <v>4687</v>
      </c>
      <c r="K181" s="12" t="s">
        <v>1143</v>
      </c>
      <c r="L181" s="5">
        <f>SUM(B181:J182)</f>
        <v>23675</v>
      </c>
      <c r="M181" s="5"/>
    </row>
    <row r="182" spans="1:13">
      <c r="A182" s="13"/>
      <c r="B182" s="13">
        <v>16332</v>
      </c>
      <c r="C182" s="13"/>
      <c r="D182" s="13"/>
      <c r="E182" s="13">
        <v>2656</v>
      </c>
      <c r="F182" s="13"/>
      <c r="G182" s="13"/>
      <c r="H182" s="13"/>
      <c r="I182" s="5"/>
      <c r="J182" s="13"/>
      <c r="K182" s="14"/>
      <c r="L182" s="5"/>
      <c r="M182" s="5"/>
    </row>
    <row r="183" spans="1:1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5"/>
      <c r="M183" s="5"/>
    </row>
    <row r="184" spans="1:13">
      <c r="A184" s="33" t="s">
        <v>170</v>
      </c>
      <c r="B184" s="32" t="s">
        <v>1144</v>
      </c>
      <c r="C184" s="32" t="s">
        <v>308</v>
      </c>
      <c r="D184" s="32" t="s">
        <v>1144</v>
      </c>
      <c r="E184" s="32" t="s">
        <v>308</v>
      </c>
      <c r="F184" s="32" t="s">
        <v>1144</v>
      </c>
      <c r="G184" s="32"/>
      <c r="H184" s="32"/>
      <c r="I184" s="32" t="s">
        <v>1145</v>
      </c>
      <c r="J184" s="30">
        <v>1129</v>
      </c>
      <c r="K184" s="29" t="s">
        <v>309</v>
      </c>
      <c r="L184" s="5">
        <f>SUM(B184:J187)</f>
        <v>26705</v>
      </c>
      <c r="M184" s="5"/>
    </row>
    <row r="185" spans="1:13">
      <c r="A185" s="30"/>
      <c r="B185" s="30">
        <v>9788</v>
      </c>
      <c r="C185" s="30">
        <v>11742</v>
      </c>
      <c r="D185" s="30">
        <v>853</v>
      </c>
      <c r="E185" s="30">
        <v>2039</v>
      </c>
      <c r="F185" s="30">
        <v>794</v>
      </c>
      <c r="G185" s="30"/>
      <c r="H185" s="30"/>
      <c r="I185" s="30">
        <v>163</v>
      </c>
      <c r="J185" s="30"/>
      <c r="K185" s="30"/>
      <c r="L185" s="5"/>
      <c r="M185" s="5"/>
    </row>
    <row r="186" spans="1:13">
      <c r="A186" s="30"/>
      <c r="B186" s="30"/>
      <c r="C186" s="30"/>
      <c r="D186" s="30"/>
      <c r="E186" s="30"/>
      <c r="F186" s="30"/>
      <c r="G186" s="30"/>
      <c r="H186" s="30"/>
      <c r="I186" s="29" t="s">
        <v>1146</v>
      </c>
      <c r="J186" s="30"/>
      <c r="K186" s="30"/>
      <c r="L186" s="5"/>
      <c r="M186" s="5"/>
    </row>
    <row r="187" spans="1:13">
      <c r="A187" s="30"/>
      <c r="B187" s="30"/>
      <c r="C187" s="30"/>
      <c r="D187" s="30"/>
      <c r="E187" s="30"/>
      <c r="F187" s="30"/>
      <c r="G187" s="30"/>
      <c r="H187" s="30"/>
      <c r="I187" s="30">
        <v>197</v>
      </c>
      <c r="J187" s="30"/>
      <c r="K187" s="30"/>
      <c r="L187" s="5"/>
      <c r="M187" s="5"/>
    </row>
    <row r="188" spans="1:1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>
      <c r="A189" s="5" t="s">
        <v>5</v>
      </c>
      <c r="B189" s="15" t="s">
        <v>272</v>
      </c>
      <c r="C189" s="15"/>
      <c r="D189" s="15" t="s">
        <v>272</v>
      </c>
      <c r="E189" s="15"/>
      <c r="F189" s="15" t="s">
        <v>272</v>
      </c>
      <c r="G189" s="15"/>
      <c r="H189" s="15"/>
      <c r="I189" s="15" t="s">
        <v>1147</v>
      </c>
      <c r="J189" s="15">
        <v>4820</v>
      </c>
      <c r="K189" s="10" t="s">
        <v>276</v>
      </c>
      <c r="L189" s="5">
        <f>SUM(B189:J190)</f>
        <v>26195</v>
      </c>
      <c r="M189" s="5"/>
    </row>
    <row r="190" spans="1:13">
      <c r="A190" s="5"/>
      <c r="B190" s="13">
        <v>15806</v>
      </c>
      <c r="C190" s="13"/>
      <c r="D190" s="13">
        <v>2723</v>
      </c>
      <c r="E190" s="13"/>
      <c r="F190" s="13">
        <v>1352</v>
      </c>
      <c r="G190" s="13"/>
      <c r="H190" s="13"/>
      <c r="I190" s="13">
        <v>1494</v>
      </c>
      <c r="J190" s="13"/>
      <c r="K190" s="5"/>
      <c r="L190" s="5"/>
      <c r="M190" s="5"/>
    </row>
    <row r="191" spans="1:1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>
      <c r="A192" s="33" t="s">
        <v>8</v>
      </c>
      <c r="B192" s="29" t="s">
        <v>1148</v>
      </c>
      <c r="C192" s="29" t="s">
        <v>1149</v>
      </c>
      <c r="D192" s="29" t="s">
        <v>1149</v>
      </c>
      <c r="E192" s="29" t="s">
        <v>1149</v>
      </c>
      <c r="F192" s="29"/>
      <c r="G192" s="29"/>
      <c r="H192" s="29"/>
      <c r="I192" s="29"/>
      <c r="J192" s="29">
        <v>1453</v>
      </c>
      <c r="K192" s="29" t="s">
        <v>1150</v>
      </c>
      <c r="L192" s="5">
        <f>SUM(B192:J193)</f>
        <v>30488</v>
      </c>
      <c r="M192" s="5"/>
    </row>
    <row r="193" spans="1:13">
      <c r="A193" s="30"/>
      <c r="B193" s="30">
        <v>6179</v>
      </c>
      <c r="C193" s="30">
        <v>19020</v>
      </c>
      <c r="D193" s="30">
        <v>1134</v>
      </c>
      <c r="E193" s="30">
        <v>2702</v>
      </c>
      <c r="F193" s="30"/>
      <c r="G193" s="30"/>
      <c r="H193" s="30"/>
      <c r="I193" s="30"/>
      <c r="J193" s="30"/>
      <c r="K193" s="30"/>
      <c r="L193" s="5"/>
      <c r="M193" s="5"/>
    </row>
    <row r="194" spans="1:1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5"/>
      <c r="M194" s="5"/>
    </row>
    <row r="195" spans="1:13">
      <c r="A195" s="14" t="s">
        <v>14</v>
      </c>
      <c r="B195" s="12" t="s">
        <v>225</v>
      </c>
      <c r="C195" s="12"/>
      <c r="D195" s="12" t="s">
        <v>225</v>
      </c>
      <c r="E195" s="12" t="s">
        <v>225</v>
      </c>
      <c r="F195" s="12" t="s">
        <v>225</v>
      </c>
      <c r="G195" s="12"/>
      <c r="H195" s="12" t="s">
        <v>1282</v>
      </c>
      <c r="I195" s="12"/>
      <c r="J195" s="13">
        <v>5063</v>
      </c>
      <c r="K195" s="12" t="s">
        <v>226</v>
      </c>
      <c r="L195" s="5">
        <f>SUM(B195:J196)</f>
        <v>25219</v>
      </c>
      <c r="M195" s="5"/>
    </row>
    <row r="196" spans="1:13">
      <c r="A196" s="13"/>
      <c r="B196" s="13">
        <v>12871</v>
      </c>
      <c r="C196" s="13"/>
      <c r="D196" s="13">
        <v>2196</v>
      </c>
      <c r="E196" s="13">
        <v>2639</v>
      </c>
      <c r="F196" s="13">
        <v>718</v>
      </c>
      <c r="G196" s="13"/>
      <c r="H196" s="13">
        <v>1732</v>
      </c>
      <c r="I196" s="13"/>
      <c r="J196" s="13"/>
      <c r="K196" s="14"/>
      <c r="L196" s="5"/>
      <c r="M196" s="5"/>
    </row>
    <row r="197" spans="1:1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5"/>
      <c r="M197" s="5"/>
    </row>
    <row r="198" spans="1:13">
      <c r="A198" s="33" t="s">
        <v>23</v>
      </c>
      <c r="B198" s="32" t="s">
        <v>834</v>
      </c>
      <c r="C198" s="32"/>
      <c r="D198" s="32"/>
      <c r="E198" s="32"/>
      <c r="F198" s="32" t="s">
        <v>834</v>
      </c>
      <c r="G198" s="32"/>
      <c r="H198" s="32"/>
      <c r="I198" s="32"/>
      <c r="J198" s="30">
        <v>5812</v>
      </c>
      <c r="K198" s="32" t="s">
        <v>836</v>
      </c>
      <c r="L198" s="5">
        <f>SUM(B198:J199)</f>
        <v>22693</v>
      </c>
      <c r="M198" s="5"/>
    </row>
    <row r="199" spans="1:13">
      <c r="A199" s="30"/>
      <c r="B199" s="30">
        <v>15329</v>
      </c>
      <c r="C199" s="30"/>
      <c r="D199" s="30"/>
      <c r="E199" s="30"/>
      <c r="F199" s="30">
        <v>1552</v>
      </c>
      <c r="G199" s="30"/>
      <c r="H199" s="30"/>
      <c r="I199" s="33"/>
      <c r="J199" s="30"/>
      <c r="K199" s="33"/>
      <c r="L199" s="5"/>
      <c r="M199" s="5"/>
    </row>
    <row r="200" spans="1:1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5"/>
      <c r="M200" s="5"/>
    </row>
    <row r="201" spans="1:13">
      <c r="A201" s="14" t="s">
        <v>29</v>
      </c>
      <c r="B201" s="15" t="s">
        <v>1001</v>
      </c>
      <c r="C201" s="15" t="s">
        <v>1151</v>
      </c>
      <c r="D201" s="15"/>
      <c r="E201" s="15"/>
      <c r="F201" s="15" t="s">
        <v>1001</v>
      </c>
      <c r="G201" s="15"/>
      <c r="H201" s="15"/>
      <c r="I201" s="15"/>
      <c r="J201" s="15">
        <v>3556</v>
      </c>
      <c r="K201" s="15" t="s">
        <v>1003</v>
      </c>
      <c r="L201" s="5">
        <f>SUM(B201:J202)</f>
        <v>34295</v>
      </c>
      <c r="M201" s="5"/>
    </row>
    <row r="202" spans="1:13">
      <c r="A202" s="13"/>
      <c r="B202" s="13">
        <v>21143</v>
      </c>
      <c r="C202" s="13">
        <v>7998</v>
      </c>
      <c r="D202" s="13"/>
      <c r="E202" s="13"/>
      <c r="F202" s="13">
        <v>1598</v>
      </c>
      <c r="G202" s="13"/>
      <c r="H202" s="13"/>
      <c r="I202" s="13"/>
      <c r="J202" s="13"/>
      <c r="K202" s="13"/>
      <c r="L202" s="5"/>
      <c r="M202" s="5"/>
    </row>
    <row r="203" spans="1:1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5"/>
      <c r="M203" s="5"/>
    </row>
    <row r="204" spans="1:13">
      <c r="A204" s="33" t="s">
        <v>36</v>
      </c>
      <c r="B204" s="32" t="s">
        <v>37</v>
      </c>
      <c r="C204" s="32" t="s">
        <v>1152</v>
      </c>
      <c r="D204" s="32"/>
      <c r="E204" s="32"/>
      <c r="F204" s="32" t="s">
        <v>511</v>
      </c>
      <c r="G204" s="32"/>
      <c r="H204" s="32"/>
      <c r="I204" s="32"/>
      <c r="J204" s="30">
        <v>3195</v>
      </c>
      <c r="K204" s="32" t="s">
        <v>38</v>
      </c>
      <c r="L204" s="5">
        <f>SUM(B204:J205)</f>
        <v>36395</v>
      </c>
      <c r="M204" s="5"/>
    </row>
    <row r="205" spans="1:13">
      <c r="A205" s="30"/>
      <c r="B205" s="30">
        <v>24520</v>
      </c>
      <c r="C205" s="30">
        <v>4426</v>
      </c>
      <c r="D205" s="30"/>
      <c r="E205" s="30"/>
      <c r="F205" s="30">
        <v>4254</v>
      </c>
      <c r="G205" s="30"/>
      <c r="H205" s="30"/>
      <c r="I205" s="33"/>
      <c r="J205" s="30"/>
      <c r="K205" s="30"/>
      <c r="L205" s="5"/>
      <c r="M205" s="5"/>
    </row>
    <row r="206" spans="1:1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5"/>
      <c r="M206" s="5"/>
    </row>
    <row r="207" spans="1:13">
      <c r="A207" s="14" t="s">
        <v>46</v>
      </c>
      <c r="B207" s="12" t="s">
        <v>263</v>
      </c>
      <c r="C207" s="12"/>
      <c r="D207" s="12"/>
      <c r="E207" s="12"/>
      <c r="F207" s="12" t="s">
        <v>263</v>
      </c>
      <c r="G207" s="12"/>
      <c r="H207" s="12"/>
      <c r="I207" s="12"/>
      <c r="J207" s="13">
        <v>8366</v>
      </c>
      <c r="K207" s="12" t="s">
        <v>264</v>
      </c>
      <c r="L207" s="5">
        <f>SUM(B207:J208)</f>
        <v>40649</v>
      </c>
      <c r="M207" s="5"/>
    </row>
    <row r="208" spans="1:13">
      <c r="A208" s="13"/>
      <c r="B208" s="13">
        <v>28712</v>
      </c>
      <c r="C208" s="13"/>
      <c r="D208" s="13"/>
      <c r="E208" s="13"/>
      <c r="F208" s="13">
        <v>3571</v>
      </c>
      <c r="G208" s="13"/>
      <c r="H208" s="13"/>
      <c r="I208" s="14"/>
      <c r="J208" s="13"/>
      <c r="K208" s="14"/>
      <c r="L208" s="5"/>
      <c r="M208" s="5"/>
    </row>
    <row r="209" spans="1:1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5"/>
      <c r="M209" s="5"/>
    </row>
    <row r="210" spans="1:13">
      <c r="A210" s="33" t="s">
        <v>51</v>
      </c>
      <c r="B210" s="29" t="s">
        <v>310</v>
      </c>
      <c r="C210" s="29"/>
      <c r="D210" s="29"/>
      <c r="E210" s="29"/>
      <c r="F210" s="29" t="s">
        <v>1153</v>
      </c>
      <c r="G210" s="29"/>
      <c r="H210" s="29"/>
      <c r="I210" s="29" t="s">
        <v>1154</v>
      </c>
      <c r="J210" s="30">
        <v>3100</v>
      </c>
      <c r="K210" s="29" t="s">
        <v>311</v>
      </c>
      <c r="L210" s="5">
        <f>SUM(B210:J211)</f>
        <v>20827</v>
      </c>
      <c r="M210" s="5"/>
    </row>
    <row r="211" spans="1:13">
      <c r="A211" s="30"/>
      <c r="B211" s="30">
        <v>15771</v>
      </c>
      <c r="C211" s="30"/>
      <c r="D211" s="30"/>
      <c r="E211" s="30"/>
      <c r="F211" s="30">
        <v>1491</v>
      </c>
      <c r="G211" s="30"/>
      <c r="H211" s="30"/>
      <c r="I211" s="30">
        <v>465</v>
      </c>
      <c r="J211" s="30"/>
      <c r="K211" s="30"/>
      <c r="L211" s="5"/>
      <c r="M211" s="5"/>
    </row>
    <row r="212" spans="1:1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5"/>
      <c r="M212" s="5"/>
    </row>
    <row r="213" spans="1:13">
      <c r="A213" s="14" t="s">
        <v>58</v>
      </c>
      <c r="B213" s="12" t="s">
        <v>227</v>
      </c>
      <c r="C213" s="12"/>
      <c r="D213" s="12"/>
      <c r="E213" s="12"/>
      <c r="F213" s="12"/>
      <c r="G213" s="12"/>
      <c r="H213" s="12"/>
      <c r="I213" s="15"/>
      <c r="J213" s="13">
        <v>8126</v>
      </c>
      <c r="K213" s="12" t="s">
        <v>228</v>
      </c>
      <c r="L213" s="5">
        <f>SUM(B213:J214)</f>
        <v>35560</v>
      </c>
      <c r="M213" s="5"/>
    </row>
    <row r="214" spans="1:13">
      <c r="A214" s="13"/>
      <c r="B214" s="13">
        <v>27434</v>
      </c>
      <c r="C214" s="13"/>
      <c r="D214" s="13"/>
      <c r="E214" s="13"/>
      <c r="F214" s="13"/>
      <c r="G214" s="13"/>
      <c r="H214" s="13"/>
      <c r="I214" s="13"/>
      <c r="J214" s="13"/>
      <c r="K214" s="14"/>
      <c r="L214" s="5"/>
      <c r="M214" s="5"/>
    </row>
    <row r="215" spans="1:1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5"/>
      <c r="M215" s="5"/>
    </row>
    <row r="216" spans="1:13">
      <c r="A216" s="33" t="s">
        <v>62</v>
      </c>
      <c r="B216" s="32" t="s">
        <v>839</v>
      </c>
      <c r="C216" s="32" t="s">
        <v>1155</v>
      </c>
      <c r="D216" s="32"/>
      <c r="E216" s="32"/>
      <c r="F216" s="32" t="s">
        <v>312</v>
      </c>
      <c r="G216" s="32"/>
      <c r="H216" s="32"/>
      <c r="I216" s="32"/>
      <c r="J216" s="30">
        <v>2851</v>
      </c>
      <c r="K216" s="32" t="s">
        <v>841</v>
      </c>
      <c r="L216" s="5">
        <f>SUM(B216:J217)</f>
        <v>25776</v>
      </c>
      <c r="M216" s="5"/>
    </row>
    <row r="217" spans="1:13">
      <c r="A217" s="30"/>
      <c r="B217" s="30">
        <v>20567</v>
      </c>
      <c r="C217" s="30">
        <v>924</v>
      </c>
      <c r="D217" s="30"/>
      <c r="E217" s="30"/>
      <c r="F217" s="30">
        <v>1434</v>
      </c>
      <c r="G217" s="30"/>
      <c r="H217" s="30"/>
      <c r="I217" s="33"/>
      <c r="J217" s="30"/>
      <c r="K217" s="33"/>
      <c r="L217" s="5"/>
      <c r="M217" s="5"/>
    </row>
    <row r="218" spans="1:1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5"/>
      <c r="M218" s="5"/>
    </row>
    <row r="219" spans="1:13">
      <c r="A219" s="14" t="s">
        <v>67</v>
      </c>
      <c r="B219" s="12" t="s">
        <v>68</v>
      </c>
      <c r="C219" s="12" t="s">
        <v>1156</v>
      </c>
      <c r="D219" s="12"/>
      <c r="E219" s="12"/>
      <c r="F219" s="12"/>
      <c r="G219" s="12"/>
      <c r="H219" s="12"/>
      <c r="I219" s="12"/>
      <c r="J219" s="13">
        <v>3713</v>
      </c>
      <c r="K219" s="12" t="s">
        <v>69</v>
      </c>
      <c r="L219" s="5">
        <f>SUM(B219:J220)</f>
        <v>25372</v>
      </c>
      <c r="M219" s="5"/>
    </row>
    <row r="220" spans="1:13">
      <c r="A220" s="13"/>
      <c r="B220" s="13">
        <v>19627</v>
      </c>
      <c r="C220" s="13">
        <v>2032</v>
      </c>
      <c r="D220" s="13"/>
      <c r="E220" s="13"/>
      <c r="F220" s="13"/>
      <c r="G220" s="13"/>
      <c r="H220" s="13"/>
      <c r="I220" s="13"/>
      <c r="J220" s="13"/>
      <c r="K220" s="14"/>
      <c r="L220" s="5"/>
      <c r="M220" s="5"/>
    </row>
    <row r="221" spans="1:1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5"/>
      <c r="M221" s="5"/>
    </row>
    <row r="222" spans="1:13">
      <c r="A222" s="33" t="s">
        <v>72</v>
      </c>
      <c r="B222" s="32" t="s">
        <v>842</v>
      </c>
      <c r="C222" s="32" t="s">
        <v>1157</v>
      </c>
      <c r="D222" s="32"/>
      <c r="E222" s="32"/>
      <c r="F222" s="32" t="s">
        <v>842</v>
      </c>
      <c r="G222" s="32"/>
      <c r="H222" s="32"/>
      <c r="I222" s="32"/>
      <c r="J222" s="30">
        <v>2481</v>
      </c>
      <c r="K222" s="32" t="s">
        <v>844</v>
      </c>
      <c r="L222" s="5">
        <f>SUM(B222:J223)</f>
        <v>18028</v>
      </c>
      <c r="M222" s="5"/>
    </row>
    <row r="223" spans="1:13">
      <c r="A223" s="30"/>
      <c r="B223" s="30">
        <v>13052</v>
      </c>
      <c r="C223" s="30">
        <v>1382</v>
      </c>
      <c r="D223" s="30"/>
      <c r="E223" s="30"/>
      <c r="F223" s="30">
        <v>1113</v>
      </c>
      <c r="G223" s="30"/>
      <c r="H223" s="30"/>
      <c r="I223" s="30"/>
      <c r="J223" s="30"/>
      <c r="K223" s="33"/>
      <c r="L223" s="5"/>
      <c r="M223" s="5"/>
    </row>
    <row r="224" spans="1:1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5"/>
      <c r="M224" s="5"/>
    </row>
    <row r="225" spans="1:13">
      <c r="A225" s="14" t="s">
        <v>79</v>
      </c>
      <c r="B225" s="12" t="s">
        <v>1158</v>
      </c>
      <c r="C225" s="12" t="s">
        <v>1159</v>
      </c>
      <c r="D225" s="12" t="s">
        <v>1159</v>
      </c>
      <c r="E225" s="12"/>
      <c r="F225" s="12" t="s">
        <v>1160</v>
      </c>
      <c r="G225" s="12"/>
      <c r="H225" s="12"/>
      <c r="I225" s="12"/>
      <c r="J225" s="13">
        <v>3166</v>
      </c>
      <c r="K225" s="12" t="s">
        <v>1161</v>
      </c>
      <c r="L225" s="5">
        <f>SUM(B225:J226)</f>
        <v>38516</v>
      </c>
      <c r="M225" s="5"/>
    </row>
    <row r="226" spans="1:13">
      <c r="A226" s="13"/>
      <c r="B226" s="13">
        <v>23031</v>
      </c>
      <c r="C226" s="13">
        <v>10864</v>
      </c>
      <c r="D226" s="13">
        <v>780</v>
      </c>
      <c r="E226" s="13"/>
      <c r="F226" s="13">
        <v>675</v>
      </c>
      <c r="G226" s="13"/>
      <c r="H226" s="13"/>
      <c r="I226" s="13"/>
      <c r="J226" s="13"/>
      <c r="K226" s="14"/>
      <c r="L226" s="5"/>
      <c r="M226" s="5"/>
    </row>
    <row r="227" spans="1:1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5"/>
      <c r="M227" s="5"/>
    </row>
    <row r="228" spans="1:13">
      <c r="A228" s="33" t="s">
        <v>87</v>
      </c>
      <c r="B228" s="32" t="s">
        <v>266</v>
      </c>
      <c r="C228" s="32" t="s">
        <v>1162</v>
      </c>
      <c r="D228" s="32"/>
      <c r="E228" s="32"/>
      <c r="F228" s="32" t="s">
        <v>266</v>
      </c>
      <c r="G228" s="32"/>
      <c r="H228" s="32"/>
      <c r="I228" s="29"/>
      <c r="J228" s="30">
        <v>3515</v>
      </c>
      <c r="K228" s="32" t="s">
        <v>265</v>
      </c>
      <c r="L228" s="5">
        <f>SUM(B228:J229)</f>
        <v>30918</v>
      </c>
      <c r="M228" s="5"/>
    </row>
    <row r="229" spans="1:13">
      <c r="A229" s="30"/>
      <c r="B229" s="30">
        <v>20130</v>
      </c>
      <c r="C229" s="30">
        <v>4332</v>
      </c>
      <c r="D229" s="30"/>
      <c r="E229" s="30"/>
      <c r="F229" s="30">
        <v>2941</v>
      </c>
      <c r="G229" s="30"/>
      <c r="H229" s="30"/>
      <c r="I229" s="30"/>
      <c r="J229" s="30"/>
      <c r="K229" s="30"/>
      <c r="L229" s="5"/>
      <c r="M229" s="5"/>
    </row>
    <row r="230" spans="1:1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5"/>
      <c r="M230" s="5"/>
    </row>
    <row r="231" spans="1:13">
      <c r="A231" s="14" t="s">
        <v>92</v>
      </c>
      <c r="B231" s="12" t="s">
        <v>201</v>
      </c>
      <c r="C231" s="12" t="s">
        <v>998</v>
      </c>
      <c r="D231" s="12"/>
      <c r="E231" s="12"/>
      <c r="F231" s="12" t="s">
        <v>201</v>
      </c>
      <c r="G231" s="12"/>
      <c r="H231" s="12"/>
      <c r="I231" s="12"/>
      <c r="J231" s="13">
        <v>3612</v>
      </c>
      <c r="K231" s="12" t="s">
        <v>24</v>
      </c>
      <c r="L231" s="5">
        <f>SUM(B231:J232)</f>
        <v>35590</v>
      </c>
      <c r="M231" s="5"/>
    </row>
    <row r="232" spans="1:13">
      <c r="A232" s="13"/>
      <c r="B232" s="13">
        <v>23069</v>
      </c>
      <c r="C232" s="13">
        <v>5893</v>
      </c>
      <c r="D232" s="13"/>
      <c r="E232" s="13"/>
      <c r="F232" s="13">
        <v>3016</v>
      </c>
      <c r="G232" s="13"/>
      <c r="H232" s="13"/>
      <c r="I232" s="12"/>
      <c r="J232" s="13"/>
      <c r="K232" s="13"/>
      <c r="L232" s="5"/>
      <c r="M232" s="5"/>
    </row>
    <row r="233" spans="1:1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5"/>
      <c r="M233" s="5"/>
    </row>
    <row r="234" spans="1:13">
      <c r="A234" s="33" t="s">
        <v>95</v>
      </c>
      <c r="B234" s="32" t="s">
        <v>1163</v>
      </c>
      <c r="C234" s="32" t="s">
        <v>611</v>
      </c>
      <c r="D234" s="32"/>
      <c r="E234" s="32" t="s">
        <v>611</v>
      </c>
      <c r="F234" s="32" t="s">
        <v>203</v>
      </c>
      <c r="G234" s="32" t="s">
        <v>1079</v>
      </c>
      <c r="H234" s="32"/>
      <c r="I234" s="32"/>
      <c r="J234" s="30">
        <v>1701</v>
      </c>
      <c r="K234" s="32" t="s">
        <v>1164</v>
      </c>
      <c r="L234" s="5">
        <f>SUM(B234:J235)</f>
        <v>17039</v>
      </c>
      <c r="M234" s="5"/>
    </row>
    <row r="235" spans="1:13">
      <c r="A235" s="30"/>
      <c r="B235" s="29">
        <v>13296</v>
      </c>
      <c r="C235" s="29">
        <v>952</v>
      </c>
      <c r="D235" s="29"/>
      <c r="E235" s="29">
        <v>242</v>
      </c>
      <c r="F235" s="29">
        <v>602</v>
      </c>
      <c r="G235" s="29">
        <v>246</v>
      </c>
      <c r="H235" s="29"/>
      <c r="I235" s="30"/>
      <c r="J235" s="30"/>
      <c r="K235" s="33"/>
      <c r="L235" s="5"/>
      <c r="M235" s="5"/>
    </row>
    <row r="236" spans="1:1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5"/>
      <c r="M236" s="5"/>
    </row>
    <row r="237" spans="1:13">
      <c r="A237" s="14" t="s">
        <v>98</v>
      </c>
      <c r="B237" s="12" t="s">
        <v>1004</v>
      </c>
      <c r="C237" s="15" t="s">
        <v>676</v>
      </c>
      <c r="D237" s="12"/>
      <c r="E237" s="12" t="s">
        <v>1165</v>
      </c>
      <c r="F237" s="12" t="s">
        <v>1004</v>
      </c>
      <c r="G237" s="12"/>
      <c r="H237" s="12"/>
      <c r="I237" s="12"/>
      <c r="J237" s="13">
        <v>1332</v>
      </c>
      <c r="K237" s="12" t="s">
        <v>1006</v>
      </c>
      <c r="L237" s="5">
        <f>SUM(B237:J238)</f>
        <v>14103</v>
      </c>
      <c r="M237" s="5"/>
    </row>
    <row r="238" spans="1:13">
      <c r="A238" s="13"/>
      <c r="B238" s="15">
        <v>11755</v>
      </c>
      <c r="C238" s="15">
        <v>362</v>
      </c>
      <c r="D238" s="15"/>
      <c r="E238" s="13">
        <v>148</v>
      </c>
      <c r="F238" s="13">
        <v>506</v>
      </c>
      <c r="G238" s="13"/>
      <c r="H238" s="13"/>
      <c r="I238" s="14"/>
      <c r="J238" s="13"/>
      <c r="K238" s="14"/>
      <c r="L238" s="5"/>
      <c r="M238" s="5"/>
    </row>
    <row r="239" spans="1:1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5"/>
      <c r="M239" s="5"/>
    </row>
    <row r="240" spans="1:13">
      <c r="A240" s="33" t="s">
        <v>103</v>
      </c>
      <c r="B240" s="32" t="s">
        <v>203</v>
      </c>
      <c r="C240" s="32" t="s">
        <v>529</v>
      </c>
      <c r="D240" s="32"/>
      <c r="E240" s="32" t="s">
        <v>529</v>
      </c>
      <c r="F240" s="32" t="s">
        <v>203</v>
      </c>
      <c r="G240" s="32"/>
      <c r="H240" s="32"/>
      <c r="I240" s="32"/>
      <c r="J240" s="30">
        <v>1211</v>
      </c>
      <c r="K240" s="32" t="s">
        <v>202</v>
      </c>
      <c r="L240" s="5">
        <f>SUM(B240:J241)</f>
        <v>11390</v>
      </c>
      <c r="M240" s="5"/>
    </row>
    <row r="241" spans="1:13">
      <c r="A241" s="30"/>
      <c r="B241" s="29">
        <v>8611</v>
      </c>
      <c r="C241" s="29">
        <v>824</v>
      </c>
      <c r="D241" s="29"/>
      <c r="E241" s="29">
        <v>166</v>
      </c>
      <c r="F241" s="29">
        <v>578</v>
      </c>
      <c r="G241" s="29"/>
      <c r="H241" s="29"/>
      <c r="I241" s="33"/>
      <c r="J241" s="30"/>
      <c r="K241" s="30"/>
      <c r="L241" s="5"/>
      <c r="M241" s="5"/>
    </row>
    <row r="242" spans="1:1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>
      <c r="A243" s="14" t="s">
        <v>109</v>
      </c>
      <c r="B243" s="12" t="s">
        <v>1008</v>
      </c>
      <c r="C243" s="12" t="s">
        <v>1166</v>
      </c>
      <c r="D243" s="12"/>
      <c r="E243" s="12" t="s">
        <v>1167</v>
      </c>
      <c r="F243" s="12" t="s">
        <v>1008</v>
      </c>
      <c r="G243" s="12"/>
      <c r="H243" s="12"/>
      <c r="I243" s="15"/>
      <c r="J243" s="13">
        <v>2004</v>
      </c>
      <c r="K243" s="12" t="s">
        <v>1010</v>
      </c>
      <c r="L243" s="13">
        <f>SUM(B243:J244)</f>
        <v>16211</v>
      </c>
      <c r="M243" s="5"/>
    </row>
    <row r="244" spans="1:13">
      <c r="A244" s="13"/>
      <c r="B244" s="15">
        <v>13116</v>
      </c>
      <c r="C244" s="15">
        <v>436</v>
      </c>
      <c r="D244" s="15"/>
      <c r="E244" s="15">
        <v>113</v>
      </c>
      <c r="F244" s="15">
        <v>542</v>
      </c>
      <c r="G244" s="15"/>
      <c r="H244" s="15"/>
      <c r="I244" s="13"/>
      <c r="J244" s="13"/>
      <c r="K244" s="13"/>
      <c r="L244" s="13"/>
      <c r="M244" s="5"/>
    </row>
    <row r="245" spans="1:1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5"/>
    </row>
    <row r="246" spans="1:13">
      <c r="A246" s="33" t="s">
        <v>113</v>
      </c>
      <c r="B246" s="32" t="s">
        <v>203</v>
      </c>
      <c r="C246" s="32" t="s">
        <v>1168</v>
      </c>
      <c r="D246" s="32"/>
      <c r="E246" s="32" t="s">
        <v>428</v>
      </c>
      <c r="F246" s="32" t="s">
        <v>203</v>
      </c>
      <c r="G246" s="32"/>
      <c r="H246" s="32"/>
      <c r="I246" s="29"/>
      <c r="J246" s="30">
        <v>1739</v>
      </c>
      <c r="K246" s="32" t="s">
        <v>1169</v>
      </c>
      <c r="L246" s="13">
        <f>SUM(B246:J247)</f>
        <v>17037</v>
      </c>
      <c r="M246" s="5"/>
    </row>
    <row r="247" spans="1:13">
      <c r="A247" s="30"/>
      <c r="B247" s="29">
        <v>10762</v>
      </c>
      <c r="C247" s="29">
        <v>3094</v>
      </c>
      <c r="D247" s="30"/>
      <c r="E247" s="29">
        <v>617</v>
      </c>
      <c r="F247" s="29">
        <v>825</v>
      </c>
      <c r="G247" s="29"/>
      <c r="H247" s="29"/>
      <c r="I247" s="30"/>
      <c r="J247" s="30"/>
      <c r="K247" s="30"/>
      <c r="L247" s="13"/>
      <c r="M247" s="5"/>
    </row>
    <row r="248" spans="1:1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5"/>
    </row>
    <row r="249" spans="1:13">
      <c r="A249" s="14" t="s">
        <v>124</v>
      </c>
      <c r="B249" s="12" t="s">
        <v>125</v>
      </c>
      <c r="C249" s="12" t="s">
        <v>278</v>
      </c>
      <c r="D249" s="12"/>
      <c r="E249" s="12" t="s">
        <v>278</v>
      </c>
      <c r="F249" s="12" t="s">
        <v>313</v>
      </c>
      <c r="G249" s="12"/>
      <c r="H249" s="12"/>
      <c r="I249" s="12"/>
      <c r="J249" s="13">
        <v>1734</v>
      </c>
      <c r="K249" s="12" t="s">
        <v>126</v>
      </c>
      <c r="L249" s="13">
        <f>SUM(B249:J250)</f>
        <v>23309</v>
      </c>
      <c r="M249" s="5"/>
    </row>
    <row r="250" spans="1:13">
      <c r="A250" s="13"/>
      <c r="B250" s="15">
        <v>15261</v>
      </c>
      <c r="C250" s="15">
        <v>4237</v>
      </c>
      <c r="D250" s="15"/>
      <c r="E250" s="15">
        <v>678</v>
      </c>
      <c r="F250" s="15">
        <v>1399</v>
      </c>
      <c r="G250" s="15"/>
      <c r="H250" s="15"/>
      <c r="I250" s="15"/>
      <c r="J250" s="13"/>
      <c r="K250" s="13"/>
      <c r="L250" s="13"/>
      <c r="M250" s="5"/>
    </row>
    <row r="251" spans="1:1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5"/>
    </row>
    <row r="252" spans="1:13">
      <c r="A252" s="33" t="s">
        <v>130</v>
      </c>
      <c r="B252" s="32" t="s">
        <v>246</v>
      </c>
      <c r="C252" s="32" t="s">
        <v>1170</v>
      </c>
      <c r="D252" s="29" t="s">
        <v>1170</v>
      </c>
      <c r="E252" s="32" t="s">
        <v>1170</v>
      </c>
      <c r="F252" s="32" t="s">
        <v>246</v>
      </c>
      <c r="G252" s="32"/>
      <c r="H252" s="32"/>
      <c r="I252" s="29"/>
      <c r="J252" s="30">
        <v>2097</v>
      </c>
      <c r="K252" s="32" t="s">
        <v>247</v>
      </c>
      <c r="L252" s="13">
        <f>SUM(B252:J253)</f>
        <v>25389</v>
      </c>
      <c r="M252" s="5"/>
    </row>
    <row r="253" spans="1:13">
      <c r="A253" s="30"/>
      <c r="B253" s="29">
        <v>15741</v>
      </c>
      <c r="C253" s="29">
        <v>4901</v>
      </c>
      <c r="D253" s="30">
        <v>481</v>
      </c>
      <c r="E253" s="29">
        <v>875</v>
      </c>
      <c r="F253" s="29">
        <v>1294</v>
      </c>
      <c r="G253" s="29"/>
      <c r="H253" s="29"/>
      <c r="I253" s="29"/>
      <c r="J253" s="30"/>
      <c r="K253" s="30"/>
      <c r="L253" s="13"/>
      <c r="M253" s="5"/>
    </row>
    <row r="254" spans="1:1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5"/>
    </row>
    <row r="255" spans="1:13">
      <c r="A255" s="14" t="s">
        <v>136</v>
      </c>
      <c r="B255" s="12" t="s">
        <v>204</v>
      </c>
      <c r="C255" s="12"/>
      <c r="D255" s="15"/>
      <c r="E255" s="12" t="s">
        <v>1011</v>
      </c>
      <c r="F255" s="12" t="s">
        <v>204</v>
      </c>
      <c r="G255" s="12" t="s">
        <v>1078</v>
      </c>
      <c r="H255" s="12"/>
      <c r="I255" s="15"/>
      <c r="J255" s="13">
        <v>1488</v>
      </c>
      <c r="K255" s="12" t="s">
        <v>205</v>
      </c>
      <c r="L255" s="13">
        <f>SUM(B255:J256)</f>
        <v>19167</v>
      </c>
      <c r="M255" s="5"/>
    </row>
    <row r="256" spans="1:13">
      <c r="A256" s="13"/>
      <c r="B256" s="15">
        <v>16519</v>
      </c>
      <c r="C256" s="15"/>
      <c r="D256" s="15"/>
      <c r="E256" s="15">
        <v>277</v>
      </c>
      <c r="F256" s="15">
        <v>799</v>
      </c>
      <c r="G256" s="15">
        <v>84</v>
      </c>
      <c r="H256" s="15"/>
      <c r="I256" s="15"/>
      <c r="J256" s="13"/>
      <c r="K256" s="13"/>
      <c r="L256" s="13"/>
      <c r="M256" s="5"/>
    </row>
    <row r="257" spans="1:1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5"/>
    </row>
    <row r="258" spans="1:13">
      <c r="A258" s="33" t="s">
        <v>140</v>
      </c>
      <c r="B258" s="29" t="s">
        <v>229</v>
      </c>
      <c r="C258" s="32" t="s">
        <v>531</v>
      </c>
      <c r="D258" s="29" t="s">
        <v>531</v>
      </c>
      <c r="E258" s="32" t="s">
        <v>531</v>
      </c>
      <c r="F258" s="32"/>
      <c r="G258" s="32"/>
      <c r="H258" s="32"/>
      <c r="I258" s="29"/>
      <c r="J258" s="30">
        <v>1859</v>
      </c>
      <c r="K258" s="32" t="s">
        <v>88</v>
      </c>
      <c r="L258" s="13">
        <f>SUM(B258:J259)</f>
        <v>13818</v>
      </c>
      <c r="M258" s="5"/>
    </row>
    <row r="259" spans="1:13">
      <c r="A259" s="30"/>
      <c r="B259" s="29">
        <v>10896</v>
      </c>
      <c r="C259" s="29">
        <v>779</v>
      </c>
      <c r="D259" s="30">
        <v>144</v>
      </c>
      <c r="E259" s="30">
        <v>140</v>
      </c>
      <c r="F259" s="30"/>
      <c r="G259" s="30"/>
      <c r="H259" s="30"/>
      <c r="I259" s="29"/>
      <c r="J259" s="30"/>
      <c r="K259" s="30"/>
      <c r="L259" s="13"/>
      <c r="M259" s="5"/>
    </row>
    <row r="260" spans="1:1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5"/>
    </row>
    <row r="261" spans="1:13">
      <c r="A261" s="14" t="s">
        <v>144</v>
      </c>
      <c r="B261" s="15" t="s">
        <v>281</v>
      </c>
      <c r="C261" s="12" t="s">
        <v>1171</v>
      </c>
      <c r="D261" s="15"/>
      <c r="E261" s="12" t="s">
        <v>1172</v>
      </c>
      <c r="F261" s="12"/>
      <c r="G261" s="12"/>
      <c r="H261" s="12"/>
      <c r="I261" s="15"/>
      <c r="J261" s="13">
        <v>1864</v>
      </c>
      <c r="K261" s="12" t="s">
        <v>314</v>
      </c>
      <c r="L261" s="13">
        <f>SUM(B261:J262)</f>
        <v>13820</v>
      </c>
      <c r="M261" s="5"/>
    </row>
    <row r="262" spans="1:13">
      <c r="A262" s="13"/>
      <c r="B262" s="15">
        <v>11213</v>
      </c>
      <c r="C262" s="13">
        <v>438</v>
      </c>
      <c r="D262" s="15"/>
      <c r="E262" s="13">
        <v>305</v>
      </c>
      <c r="F262" s="13"/>
      <c r="G262" s="13"/>
      <c r="H262" s="13"/>
      <c r="I262" s="13"/>
      <c r="J262" s="13"/>
      <c r="K262" s="13"/>
      <c r="L262" s="13"/>
      <c r="M262" s="5"/>
    </row>
    <row r="263" spans="1:1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5"/>
    </row>
    <row r="264" spans="1:13">
      <c r="A264" s="33" t="s">
        <v>148</v>
      </c>
      <c r="B264" s="29" t="s">
        <v>1015</v>
      </c>
      <c r="C264" s="32" t="s">
        <v>855</v>
      </c>
      <c r="D264" s="30"/>
      <c r="E264" s="29" t="s">
        <v>1080</v>
      </c>
      <c r="F264" s="29" t="s">
        <v>1014</v>
      </c>
      <c r="G264" s="29"/>
      <c r="H264" s="29"/>
      <c r="I264" s="29"/>
      <c r="J264" s="30">
        <v>1239</v>
      </c>
      <c r="K264" s="32" t="s">
        <v>1018</v>
      </c>
      <c r="L264" s="13">
        <f>SUM(B264:J265)</f>
        <v>11073</v>
      </c>
      <c r="M264" s="5"/>
    </row>
    <row r="265" spans="1:13">
      <c r="A265" s="30"/>
      <c r="B265" s="29">
        <v>7613</v>
      </c>
      <c r="C265" s="30">
        <v>324</v>
      </c>
      <c r="D265" s="30"/>
      <c r="E265" s="30">
        <v>199</v>
      </c>
      <c r="F265" s="30">
        <v>1698</v>
      </c>
      <c r="G265" s="30"/>
      <c r="H265" s="30"/>
      <c r="I265" s="30"/>
      <c r="J265" s="30"/>
      <c r="K265" s="30"/>
      <c r="L265" s="13"/>
      <c r="M265" s="5"/>
    </row>
    <row r="266" spans="1:1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5"/>
    </row>
    <row r="267" spans="1:13">
      <c r="A267" s="14" t="s">
        <v>153</v>
      </c>
      <c r="B267" s="15" t="s">
        <v>189</v>
      </c>
      <c r="C267" s="12"/>
      <c r="D267" s="12" t="s">
        <v>1173</v>
      </c>
      <c r="E267" s="15"/>
      <c r="F267" s="15" t="s">
        <v>189</v>
      </c>
      <c r="G267" s="15"/>
      <c r="H267" s="15"/>
      <c r="I267" s="15"/>
      <c r="J267" s="15">
        <v>4792</v>
      </c>
      <c r="K267" s="12" t="s">
        <v>433</v>
      </c>
      <c r="L267" s="13">
        <f>SUM(B267:J268)</f>
        <v>22456</v>
      </c>
      <c r="M267" s="5"/>
    </row>
    <row r="268" spans="1:13">
      <c r="A268" s="13"/>
      <c r="B268" s="15">
        <v>15352</v>
      </c>
      <c r="C268" s="15"/>
      <c r="D268" s="15">
        <v>1466</v>
      </c>
      <c r="E268" s="13"/>
      <c r="F268" s="13">
        <v>846</v>
      </c>
      <c r="G268" s="13"/>
      <c r="H268" s="13"/>
      <c r="I268" s="13"/>
      <c r="J268" s="13"/>
      <c r="K268" s="13"/>
      <c r="L268" s="13"/>
      <c r="M268" s="5"/>
    </row>
    <row r="269" spans="1:1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5"/>
    </row>
    <row r="270" spans="1:13">
      <c r="A270" s="33" t="s">
        <v>161</v>
      </c>
      <c r="B270" s="29" t="s">
        <v>206</v>
      </c>
      <c r="C270" s="32" t="s">
        <v>1174</v>
      </c>
      <c r="D270" s="32" t="s">
        <v>206</v>
      </c>
      <c r="E270" s="29" t="s">
        <v>1174</v>
      </c>
      <c r="F270" s="29" t="s">
        <v>206</v>
      </c>
      <c r="G270" s="29"/>
      <c r="H270" s="29"/>
      <c r="I270" s="29"/>
      <c r="J270" s="29">
        <v>2381</v>
      </c>
      <c r="K270" s="32" t="s">
        <v>207</v>
      </c>
      <c r="L270" s="13">
        <f>SUM(B270:J271)</f>
        <v>39422</v>
      </c>
      <c r="M270" s="5"/>
    </row>
    <row r="271" spans="1:13">
      <c r="A271" s="30"/>
      <c r="B271" s="29">
        <v>20548</v>
      </c>
      <c r="C271" s="29">
        <v>12698</v>
      </c>
      <c r="D271" s="29">
        <v>1084</v>
      </c>
      <c r="E271" s="30">
        <v>1795</v>
      </c>
      <c r="F271" s="30">
        <v>916</v>
      </c>
      <c r="G271" s="30"/>
      <c r="H271" s="30"/>
      <c r="I271" s="30"/>
      <c r="J271" s="30"/>
      <c r="K271" s="30"/>
      <c r="L271" s="13"/>
      <c r="M271" s="5"/>
    </row>
    <row r="272" spans="1:1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5"/>
    </row>
    <row r="273" spans="1:13">
      <c r="A273" s="14" t="s">
        <v>167</v>
      </c>
      <c r="B273" s="15" t="s">
        <v>1175</v>
      </c>
      <c r="C273" s="15" t="s">
        <v>1024</v>
      </c>
      <c r="D273" s="15" t="s">
        <v>1175</v>
      </c>
      <c r="E273" s="15" t="s">
        <v>1024</v>
      </c>
      <c r="F273" s="15" t="s">
        <v>1175</v>
      </c>
      <c r="G273" s="15"/>
      <c r="H273" s="15"/>
      <c r="I273" s="15" t="s">
        <v>1176</v>
      </c>
      <c r="J273" s="15">
        <v>3107</v>
      </c>
      <c r="K273" s="12" t="s">
        <v>1177</v>
      </c>
      <c r="L273" s="13">
        <f>SUM(B273:J274)</f>
        <v>45521</v>
      </c>
      <c r="M273" s="5"/>
    </row>
    <row r="274" spans="1:13">
      <c r="A274" s="13"/>
      <c r="B274" s="15">
        <v>19100</v>
      </c>
      <c r="C274" s="15">
        <v>18851</v>
      </c>
      <c r="D274" s="13">
        <v>995</v>
      </c>
      <c r="E274" s="13">
        <v>2347</v>
      </c>
      <c r="F274" s="13">
        <v>1056</v>
      </c>
      <c r="G274" s="13"/>
      <c r="H274" s="13"/>
      <c r="I274" s="13">
        <v>65</v>
      </c>
      <c r="J274" s="13"/>
      <c r="K274" s="13"/>
      <c r="L274" s="13"/>
      <c r="M274" s="5"/>
    </row>
    <row r="275" spans="1:1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5"/>
    </row>
    <row r="276" spans="1:13">
      <c r="A276" s="33" t="s">
        <v>172</v>
      </c>
      <c r="B276" s="29" t="s">
        <v>230</v>
      </c>
      <c r="C276" s="32" t="s">
        <v>1178</v>
      </c>
      <c r="D276" s="29" t="s">
        <v>230</v>
      </c>
      <c r="E276" s="29" t="s">
        <v>1178</v>
      </c>
      <c r="F276" s="29"/>
      <c r="G276" s="29"/>
      <c r="H276" s="29"/>
      <c r="I276" s="29"/>
      <c r="J276" s="30">
        <v>2000</v>
      </c>
      <c r="K276" s="32" t="s">
        <v>173</v>
      </c>
      <c r="L276" s="13">
        <f>SUM(B276:J277)</f>
        <v>41469</v>
      </c>
      <c r="M276" s="5"/>
    </row>
    <row r="277" spans="1:13">
      <c r="A277" s="30"/>
      <c r="B277" s="29">
        <v>21761</v>
      </c>
      <c r="C277" s="29">
        <v>12686</v>
      </c>
      <c r="D277" s="30">
        <v>2303</v>
      </c>
      <c r="E277" s="30">
        <v>2719</v>
      </c>
      <c r="F277" s="30"/>
      <c r="G277" s="30"/>
      <c r="H277" s="30"/>
      <c r="I277" s="30"/>
      <c r="J277" s="30"/>
      <c r="K277" s="30"/>
      <c r="L277" s="13"/>
      <c r="M277" s="5"/>
    </row>
    <row r="278" spans="1:1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5"/>
    </row>
    <row r="279" spans="1:13">
      <c r="A279" s="14" t="s">
        <v>177</v>
      </c>
      <c r="B279" s="15" t="s">
        <v>1179</v>
      </c>
      <c r="C279" s="12" t="s">
        <v>429</v>
      </c>
      <c r="D279" s="12" t="s">
        <v>1179</v>
      </c>
      <c r="E279" s="12" t="s">
        <v>429</v>
      </c>
      <c r="F279" s="12" t="s">
        <v>1179</v>
      </c>
      <c r="G279" s="12"/>
      <c r="H279" s="12"/>
      <c r="I279" s="15"/>
      <c r="J279" s="15">
        <v>2632</v>
      </c>
      <c r="K279" s="12" t="s">
        <v>1180</v>
      </c>
      <c r="L279" s="13">
        <f>SUM(B279:J280)</f>
        <v>34674</v>
      </c>
      <c r="M279" s="5"/>
    </row>
    <row r="280" spans="1:13">
      <c r="A280" s="13"/>
      <c r="B280" s="13">
        <v>19188</v>
      </c>
      <c r="C280" s="14">
        <v>9004</v>
      </c>
      <c r="D280" s="13">
        <v>1568</v>
      </c>
      <c r="E280" s="13">
        <v>1279</v>
      </c>
      <c r="F280" s="13">
        <v>1003</v>
      </c>
      <c r="G280" s="13"/>
      <c r="H280" s="13"/>
      <c r="I280" s="13"/>
      <c r="J280" s="13"/>
      <c r="K280" s="13"/>
      <c r="L280" s="13"/>
      <c r="M280" s="5"/>
    </row>
    <row r="281" spans="1:13">
      <c r="A281" s="13"/>
      <c r="B281" s="13"/>
      <c r="C281" s="14"/>
      <c r="D281" s="13"/>
      <c r="E281" s="13"/>
      <c r="F281" s="13"/>
      <c r="G281" s="13"/>
      <c r="H281" s="13"/>
      <c r="I281" s="13"/>
      <c r="J281" s="13"/>
      <c r="K281" s="13"/>
      <c r="L281" s="13"/>
      <c r="M281" s="5"/>
    </row>
    <row r="282" spans="1:13">
      <c r="A282" s="33" t="s">
        <v>6</v>
      </c>
      <c r="B282" s="29" t="s">
        <v>315</v>
      </c>
      <c r="C282" s="32" t="s">
        <v>1181</v>
      </c>
      <c r="D282" s="29" t="s">
        <v>315</v>
      </c>
      <c r="E282" s="29"/>
      <c r="F282" s="29"/>
      <c r="G282" s="29"/>
      <c r="H282" s="29"/>
      <c r="I282" s="29"/>
      <c r="J282" s="29">
        <v>5069</v>
      </c>
      <c r="K282" s="32" t="s">
        <v>316</v>
      </c>
      <c r="L282" s="13">
        <f>SUM(B282:J283)</f>
        <v>44086</v>
      </c>
      <c r="M282" s="5"/>
    </row>
    <row r="283" spans="1:13">
      <c r="A283" s="30"/>
      <c r="B283" s="30">
        <v>23606</v>
      </c>
      <c r="C283" s="30">
        <v>13716</v>
      </c>
      <c r="D283" s="30">
        <v>1695</v>
      </c>
      <c r="E283" s="30"/>
      <c r="F283" s="30"/>
      <c r="G283" s="30"/>
      <c r="H283" s="30"/>
      <c r="I283" s="30"/>
      <c r="J283" s="30"/>
      <c r="K283" s="30"/>
      <c r="L283" s="13"/>
      <c r="M283" s="5"/>
    </row>
    <row r="284" spans="1:1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5"/>
    </row>
    <row r="285" spans="1:13">
      <c r="A285" s="14" t="s">
        <v>13</v>
      </c>
      <c r="B285" s="15" t="s">
        <v>1182</v>
      </c>
      <c r="C285" s="15" t="s">
        <v>1183</v>
      </c>
      <c r="D285" s="15" t="s">
        <v>1183</v>
      </c>
      <c r="E285" s="15" t="s">
        <v>1182</v>
      </c>
      <c r="F285" s="15" t="s">
        <v>1182</v>
      </c>
      <c r="G285" s="15"/>
      <c r="H285" s="15"/>
      <c r="I285" s="15" t="s">
        <v>1184</v>
      </c>
      <c r="J285" s="15">
        <v>1997</v>
      </c>
      <c r="K285" s="12" t="s">
        <v>1185</v>
      </c>
      <c r="L285" s="13">
        <f>SUM(B285:J286)</f>
        <v>32433</v>
      </c>
      <c r="M285" s="5"/>
    </row>
    <row r="286" spans="1:13">
      <c r="A286" s="13"/>
      <c r="B286" s="13">
        <v>15560</v>
      </c>
      <c r="C286" s="13">
        <v>11368</v>
      </c>
      <c r="D286" s="13">
        <v>1050</v>
      </c>
      <c r="E286" s="13">
        <v>1527</v>
      </c>
      <c r="F286" s="13">
        <v>813</v>
      </c>
      <c r="G286" s="13"/>
      <c r="H286" s="13"/>
      <c r="I286" s="13">
        <v>118</v>
      </c>
      <c r="J286" s="13"/>
      <c r="K286" s="13"/>
      <c r="L286" s="13"/>
      <c r="M286" s="5"/>
    </row>
    <row r="287" spans="1:1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5"/>
    </row>
    <row r="288" spans="1:13">
      <c r="A288" s="33" t="s">
        <v>22</v>
      </c>
      <c r="B288" s="29" t="s">
        <v>248</v>
      </c>
      <c r="C288" s="29" t="s">
        <v>1186</v>
      </c>
      <c r="D288" s="29" t="s">
        <v>248</v>
      </c>
      <c r="E288" s="29" t="s">
        <v>1186</v>
      </c>
      <c r="F288" s="29" t="s">
        <v>1186</v>
      </c>
      <c r="G288" s="29"/>
      <c r="H288" s="29"/>
      <c r="I288" s="29"/>
      <c r="J288" s="30">
        <v>2206</v>
      </c>
      <c r="K288" s="32" t="s">
        <v>283</v>
      </c>
      <c r="L288" s="13">
        <f>SUM(B288:J289)</f>
        <v>41601</v>
      </c>
      <c r="M288" s="5"/>
    </row>
    <row r="289" spans="1:13">
      <c r="A289" s="30"/>
      <c r="B289" s="30">
        <v>21067</v>
      </c>
      <c r="C289" s="30">
        <v>13366</v>
      </c>
      <c r="D289" s="30">
        <v>1578</v>
      </c>
      <c r="E289" s="30">
        <v>2619</v>
      </c>
      <c r="F289" s="30">
        <v>765</v>
      </c>
      <c r="G289" s="30"/>
      <c r="H289" s="30"/>
      <c r="I289" s="30"/>
      <c r="J289" s="30"/>
      <c r="K289" s="30"/>
      <c r="L289" s="13"/>
      <c r="M289" s="5"/>
    </row>
    <row r="290" spans="1:1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5"/>
    </row>
    <row r="291" spans="1:13">
      <c r="A291" s="14" t="s">
        <v>28</v>
      </c>
      <c r="B291" s="15" t="s">
        <v>267</v>
      </c>
      <c r="C291" s="12" t="s">
        <v>1187</v>
      </c>
      <c r="D291" s="12" t="s">
        <v>267</v>
      </c>
      <c r="E291" s="15" t="s">
        <v>1187</v>
      </c>
      <c r="F291" s="15" t="s">
        <v>267</v>
      </c>
      <c r="G291" s="15"/>
      <c r="H291" s="15"/>
      <c r="I291" s="15"/>
      <c r="J291" s="13">
        <v>3604</v>
      </c>
      <c r="K291" s="12" t="s">
        <v>268</v>
      </c>
      <c r="L291" s="13">
        <f>SUM(B291:J292)</f>
        <v>37547</v>
      </c>
      <c r="M291" s="5"/>
    </row>
    <row r="292" spans="1:13">
      <c r="A292" s="13"/>
      <c r="B292" s="13">
        <v>18750</v>
      </c>
      <c r="C292" s="13">
        <v>11079</v>
      </c>
      <c r="D292" s="13">
        <v>919</v>
      </c>
      <c r="E292" s="13">
        <v>2162</v>
      </c>
      <c r="F292" s="13">
        <v>1033</v>
      </c>
      <c r="G292" s="13"/>
      <c r="H292" s="13"/>
      <c r="I292" s="13"/>
      <c r="J292" s="13"/>
      <c r="K292" s="13"/>
      <c r="L292" s="13"/>
      <c r="M292" s="5"/>
    </row>
    <row r="293" spans="1:1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5"/>
    </row>
    <row r="294" spans="1:13">
      <c r="A294" s="33" t="s">
        <v>32</v>
      </c>
      <c r="B294" s="29" t="s">
        <v>1188</v>
      </c>
      <c r="C294" s="32" t="s">
        <v>438</v>
      </c>
      <c r="D294" s="29" t="s">
        <v>438</v>
      </c>
      <c r="E294" s="32" t="s">
        <v>438</v>
      </c>
      <c r="F294" s="32"/>
      <c r="G294" s="32"/>
      <c r="H294" s="32"/>
      <c r="I294" s="29" t="s">
        <v>1189</v>
      </c>
      <c r="J294" s="30">
        <v>2177</v>
      </c>
      <c r="K294" s="32" t="s">
        <v>1190</v>
      </c>
      <c r="L294" s="13">
        <f>SUM(B294:J295)</f>
        <v>40588</v>
      </c>
      <c r="M294" s="5"/>
    </row>
    <row r="295" spans="1:13">
      <c r="A295" s="30"/>
      <c r="B295" s="30">
        <v>17793</v>
      </c>
      <c r="C295" s="30">
        <v>15563</v>
      </c>
      <c r="D295" s="30">
        <v>971</v>
      </c>
      <c r="E295" s="30">
        <v>2942</v>
      </c>
      <c r="F295" s="30"/>
      <c r="G295" s="30"/>
      <c r="H295" s="30"/>
      <c r="I295" s="30">
        <v>1142</v>
      </c>
      <c r="J295" s="30"/>
      <c r="K295" s="30" t="s">
        <v>33</v>
      </c>
      <c r="L295" s="13"/>
      <c r="M295" s="5"/>
    </row>
    <row r="296" spans="1:1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5"/>
    </row>
    <row r="297" spans="1:13">
      <c r="A297" s="14" t="s">
        <v>39</v>
      </c>
      <c r="B297" s="15" t="s">
        <v>1191</v>
      </c>
      <c r="C297" s="12" t="s">
        <v>1029</v>
      </c>
      <c r="D297" s="12" t="s">
        <v>1029</v>
      </c>
      <c r="E297" s="15" t="s">
        <v>1029</v>
      </c>
      <c r="F297" s="15" t="s">
        <v>1191</v>
      </c>
      <c r="G297" s="15"/>
      <c r="H297" s="15"/>
      <c r="I297" s="15"/>
      <c r="J297" s="13">
        <v>2570</v>
      </c>
      <c r="K297" s="12" t="s">
        <v>1030</v>
      </c>
      <c r="L297" s="13">
        <f>SUM(B297:J298)</f>
        <v>42747</v>
      </c>
      <c r="M297" s="5"/>
    </row>
    <row r="298" spans="1:13">
      <c r="A298" s="13"/>
      <c r="B298" s="13">
        <v>16978</v>
      </c>
      <c r="C298" s="13">
        <v>17750</v>
      </c>
      <c r="D298" s="13">
        <v>1428</v>
      </c>
      <c r="E298" s="13">
        <v>2868</v>
      </c>
      <c r="F298" s="13">
        <v>1153</v>
      </c>
      <c r="G298" s="13"/>
      <c r="H298" s="13"/>
      <c r="I298" s="13"/>
      <c r="J298" s="13"/>
      <c r="K298" s="13"/>
      <c r="L298" s="13"/>
      <c r="M298" s="5"/>
    </row>
    <row r="299" spans="1:1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5"/>
    </row>
    <row r="300" spans="1:13">
      <c r="A300" s="33" t="s">
        <v>48</v>
      </c>
      <c r="B300" s="29" t="s">
        <v>241</v>
      </c>
      <c r="C300" s="32"/>
      <c r="D300" s="29"/>
      <c r="E300" s="29" t="s">
        <v>241</v>
      </c>
      <c r="F300" s="29"/>
      <c r="G300" s="29"/>
      <c r="H300" s="29"/>
      <c r="I300" s="29"/>
      <c r="J300" s="30">
        <v>10373</v>
      </c>
      <c r="K300" s="32" t="s">
        <v>242</v>
      </c>
      <c r="L300" s="13">
        <f>SUM(B300:J301)</f>
        <v>35672</v>
      </c>
      <c r="M300" s="5"/>
    </row>
    <row r="301" spans="1:13">
      <c r="A301" s="30"/>
      <c r="B301" s="30">
        <v>19676</v>
      </c>
      <c r="C301" s="30"/>
      <c r="D301" s="30"/>
      <c r="E301" s="30">
        <v>5623</v>
      </c>
      <c r="F301" s="30"/>
      <c r="G301" s="30"/>
      <c r="H301" s="30"/>
      <c r="I301" s="30"/>
      <c r="J301" s="30"/>
      <c r="K301" s="30"/>
      <c r="L301" s="13"/>
      <c r="M301" s="5"/>
    </row>
    <row r="302" spans="1:1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5"/>
    </row>
    <row r="303" spans="1:13">
      <c r="A303" s="14" t="s">
        <v>56</v>
      </c>
      <c r="B303" s="15" t="s">
        <v>1192</v>
      </c>
      <c r="C303" s="12" t="s">
        <v>858</v>
      </c>
      <c r="D303" s="12" t="s">
        <v>858</v>
      </c>
      <c r="E303" s="12" t="s">
        <v>1193</v>
      </c>
      <c r="F303" s="12" t="s">
        <v>1192</v>
      </c>
      <c r="G303" s="12"/>
      <c r="H303" s="12"/>
      <c r="I303" s="15"/>
      <c r="J303" s="13">
        <v>4278</v>
      </c>
      <c r="K303" s="12" t="s">
        <v>1194</v>
      </c>
      <c r="L303" s="13">
        <f>SUM(B303:J304)</f>
        <v>46902</v>
      </c>
      <c r="M303" s="5"/>
    </row>
    <row r="304" spans="1:13">
      <c r="A304" s="13"/>
      <c r="B304" s="13">
        <v>15021</v>
      </c>
      <c r="C304" s="13">
        <v>19034</v>
      </c>
      <c r="D304" s="13">
        <v>1679</v>
      </c>
      <c r="E304" s="13">
        <v>5515</v>
      </c>
      <c r="F304" s="13">
        <v>1375</v>
      </c>
      <c r="G304" s="13"/>
      <c r="H304" s="13"/>
      <c r="I304" s="13"/>
      <c r="J304" s="13"/>
      <c r="K304" s="13"/>
      <c r="L304" s="13"/>
      <c r="M304" s="5"/>
    </row>
    <row r="305" spans="1:1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5"/>
    </row>
    <row r="306" spans="1:13">
      <c r="A306" s="33" t="s">
        <v>330</v>
      </c>
      <c r="B306" s="29" t="s">
        <v>277</v>
      </c>
      <c r="C306" s="32" t="s">
        <v>1195</v>
      </c>
      <c r="D306" s="32" t="s">
        <v>1195</v>
      </c>
      <c r="E306" s="29" t="s">
        <v>1195</v>
      </c>
      <c r="F306" s="29" t="s">
        <v>277</v>
      </c>
      <c r="G306" s="29"/>
      <c r="H306" s="29"/>
      <c r="I306" s="29"/>
      <c r="J306" s="30">
        <v>1114</v>
      </c>
      <c r="K306" s="32" t="s">
        <v>1196</v>
      </c>
      <c r="L306" s="13">
        <f>SUM(B306:J307)</f>
        <v>31267</v>
      </c>
      <c r="M306" s="5"/>
    </row>
    <row r="307" spans="1:13">
      <c r="A307" s="30"/>
      <c r="B307" s="30">
        <v>14127</v>
      </c>
      <c r="C307" s="30">
        <v>13372</v>
      </c>
      <c r="D307" s="30">
        <v>554</v>
      </c>
      <c r="E307" s="30">
        <v>1158</v>
      </c>
      <c r="F307" s="30">
        <v>942</v>
      </c>
      <c r="G307" s="30"/>
      <c r="H307" s="30"/>
      <c r="I307" s="30"/>
      <c r="J307" s="30"/>
      <c r="K307" s="30"/>
      <c r="L307" s="13"/>
      <c r="M307" s="5"/>
    </row>
    <row r="308" spans="1:1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5"/>
    </row>
    <row r="309" spans="1:13">
      <c r="A309" s="14" t="s">
        <v>63</v>
      </c>
      <c r="B309" s="15" t="s">
        <v>190</v>
      </c>
      <c r="C309" s="15" t="s">
        <v>1197</v>
      </c>
      <c r="D309" s="15" t="s">
        <v>1197</v>
      </c>
      <c r="E309" s="15" t="s">
        <v>1197</v>
      </c>
      <c r="F309" s="15" t="s">
        <v>190</v>
      </c>
      <c r="G309" s="15"/>
      <c r="H309" s="15"/>
      <c r="I309" s="15"/>
      <c r="J309" s="13">
        <v>1382</v>
      </c>
      <c r="K309" s="12" t="s">
        <v>208</v>
      </c>
      <c r="L309" s="13">
        <f>SUM(B309:J310)</f>
        <v>45529</v>
      </c>
      <c r="M309" s="5"/>
    </row>
    <row r="310" spans="1:13">
      <c r="A310" s="13"/>
      <c r="B310" s="13">
        <v>21401</v>
      </c>
      <c r="C310" s="13">
        <v>14619</v>
      </c>
      <c r="D310" s="13">
        <v>1572</v>
      </c>
      <c r="E310" s="13">
        <v>2997</v>
      </c>
      <c r="F310" s="13">
        <v>3558</v>
      </c>
      <c r="G310" s="13"/>
      <c r="H310" s="13"/>
      <c r="I310" s="13"/>
      <c r="J310" s="13"/>
      <c r="K310" s="13"/>
      <c r="L310" s="13"/>
      <c r="M310" s="5"/>
    </row>
    <row r="311" spans="1:1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5"/>
    </row>
    <row r="312" spans="1:13">
      <c r="A312" s="33" t="s">
        <v>70</v>
      </c>
      <c r="B312" s="29" t="s">
        <v>1198</v>
      </c>
      <c r="C312" s="32" t="s">
        <v>231</v>
      </c>
      <c r="D312" s="32" t="s">
        <v>231</v>
      </c>
      <c r="E312" s="32"/>
      <c r="F312" s="32" t="s">
        <v>1198</v>
      </c>
      <c r="G312" s="32"/>
      <c r="H312" s="32"/>
      <c r="I312" s="29"/>
      <c r="J312" s="30">
        <v>4174</v>
      </c>
      <c r="K312" s="32" t="s">
        <v>1199</v>
      </c>
      <c r="L312" s="13">
        <f>SUM(B312:J313)</f>
        <v>40886</v>
      </c>
      <c r="M312" s="5"/>
    </row>
    <row r="313" spans="1:13">
      <c r="A313" s="30"/>
      <c r="B313" s="30">
        <v>14182</v>
      </c>
      <c r="C313" s="30">
        <v>18956</v>
      </c>
      <c r="D313" s="30">
        <v>2054</v>
      </c>
      <c r="E313" s="30"/>
      <c r="F313" s="30">
        <v>1520</v>
      </c>
      <c r="G313" s="30"/>
      <c r="H313" s="30"/>
      <c r="I313" s="30"/>
      <c r="J313" s="30"/>
      <c r="K313" s="30"/>
      <c r="L313" s="13"/>
      <c r="M313" s="5"/>
    </row>
    <row r="314" spans="1:1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5"/>
    </row>
    <row r="315" spans="1:13">
      <c r="A315" s="14" t="s">
        <v>78</v>
      </c>
      <c r="B315" s="15" t="s">
        <v>1200</v>
      </c>
      <c r="C315" s="12" t="s">
        <v>1201</v>
      </c>
      <c r="D315" s="12" t="s">
        <v>1201</v>
      </c>
      <c r="E315" s="12" t="s">
        <v>1201</v>
      </c>
      <c r="F315" s="12" t="s">
        <v>1200</v>
      </c>
      <c r="G315" s="12"/>
      <c r="H315" s="12"/>
      <c r="I315" s="15"/>
      <c r="J315" s="13">
        <v>2927</v>
      </c>
      <c r="K315" s="12" t="s">
        <v>1202</v>
      </c>
      <c r="L315" s="13">
        <f>SUM(B315:J316)</f>
        <v>44186</v>
      </c>
      <c r="M315" s="5"/>
    </row>
    <row r="316" spans="1:13">
      <c r="A316" s="13"/>
      <c r="B316" s="13">
        <v>12241</v>
      </c>
      <c r="C316" s="13">
        <v>21855</v>
      </c>
      <c r="D316" s="13">
        <v>2093</v>
      </c>
      <c r="E316" s="13">
        <v>3589</v>
      </c>
      <c r="F316" s="13">
        <v>1481</v>
      </c>
      <c r="G316" s="13"/>
      <c r="H316" s="13"/>
      <c r="I316" s="13"/>
      <c r="J316" s="13"/>
      <c r="K316" s="13"/>
      <c r="L316" s="13"/>
      <c r="M316" s="5"/>
    </row>
    <row r="317" spans="1:1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5"/>
    </row>
    <row r="318" spans="1:13">
      <c r="A318" s="33" t="s">
        <v>84</v>
      </c>
      <c r="B318" s="29" t="s">
        <v>1203</v>
      </c>
      <c r="C318" s="32" t="s">
        <v>1204</v>
      </c>
      <c r="D318" s="29" t="s">
        <v>1205</v>
      </c>
      <c r="E318" s="29" t="s">
        <v>1204</v>
      </c>
      <c r="F318" s="29" t="s">
        <v>1205</v>
      </c>
      <c r="G318" s="29"/>
      <c r="H318" s="29"/>
      <c r="I318" s="29" t="s">
        <v>1206</v>
      </c>
      <c r="J318" s="30">
        <v>2182</v>
      </c>
      <c r="K318" s="32" t="s">
        <v>1207</v>
      </c>
      <c r="L318" s="13">
        <f>SUM(B318:J319)</f>
        <v>43925</v>
      </c>
      <c r="M318" s="5"/>
    </row>
    <row r="319" spans="1:13">
      <c r="A319" s="30"/>
      <c r="B319" s="30">
        <v>22227</v>
      </c>
      <c r="C319" s="30">
        <v>12727</v>
      </c>
      <c r="D319" s="30">
        <v>1343</v>
      </c>
      <c r="E319" s="30">
        <v>2868</v>
      </c>
      <c r="F319" s="30">
        <v>2323</v>
      </c>
      <c r="G319" s="30"/>
      <c r="H319" s="30"/>
      <c r="I319" s="30">
        <v>255</v>
      </c>
      <c r="J319" s="30"/>
      <c r="K319" s="30"/>
      <c r="L319" s="13"/>
      <c r="M319" s="5"/>
    </row>
    <row r="320" spans="1:1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5"/>
    </row>
    <row r="321" spans="1:13">
      <c r="A321" s="14" t="s">
        <v>89</v>
      </c>
      <c r="B321" s="15" t="s">
        <v>317</v>
      </c>
      <c r="C321" s="12" t="s">
        <v>1208</v>
      </c>
      <c r="D321" s="12" t="s">
        <v>1208</v>
      </c>
      <c r="E321" s="15" t="s">
        <v>1208</v>
      </c>
      <c r="F321" s="15" t="s">
        <v>317</v>
      </c>
      <c r="G321" s="15"/>
      <c r="H321" s="15"/>
      <c r="I321" s="15" t="s">
        <v>1209</v>
      </c>
      <c r="J321" s="13">
        <v>1771</v>
      </c>
      <c r="K321" s="12" t="s">
        <v>1210</v>
      </c>
      <c r="L321" s="13">
        <f>SUM(B321:J322)</f>
        <v>38298</v>
      </c>
      <c r="M321" s="5"/>
    </row>
    <row r="322" spans="1:13">
      <c r="A322" s="13"/>
      <c r="B322" s="13">
        <v>13147</v>
      </c>
      <c r="C322" s="13">
        <v>16957</v>
      </c>
      <c r="D322" s="13">
        <v>1632</v>
      </c>
      <c r="E322" s="13">
        <v>2849</v>
      </c>
      <c r="F322" s="13">
        <v>1452</v>
      </c>
      <c r="G322" s="13"/>
      <c r="H322" s="13"/>
      <c r="I322" s="13">
        <v>490</v>
      </c>
      <c r="J322" s="13"/>
      <c r="K322" s="13"/>
      <c r="L322" s="13"/>
      <c r="M322" s="5"/>
    </row>
    <row r="323" spans="1:1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>
      <c r="A324" s="33" t="s">
        <v>96</v>
      </c>
      <c r="B324" s="29" t="s">
        <v>1211</v>
      </c>
      <c r="C324" s="32"/>
      <c r="D324" s="32" t="s">
        <v>1212</v>
      </c>
      <c r="E324" s="32"/>
      <c r="F324" s="32" t="s">
        <v>1212</v>
      </c>
      <c r="G324" s="32"/>
      <c r="H324" s="32"/>
      <c r="I324" s="29"/>
      <c r="J324" s="30">
        <v>9935</v>
      </c>
      <c r="K324" s="32" t="s">
        <v>1213</v>
      </c>
      <c r="L324" s="13">
        <f>SUM(B324:J325)</f>
        <v>36518</v>
      </c>
      <c r="M324" s="5"/>
    </row>
    <row r="325" spans="1:13">
      <c r="A325" s="30"/>
      <c r="B325" s="30">
        <v>21335</v>
      </c>
      <c r="C325" s="30"/>
      <c r="D325" s="30">
        <v>3446</v>
      </c>
      <c r="E325" s="30"/>
      <c r="F325" s="30">
        <v>1802</v>
      </c>
      <c r="G325" s="30"/>
      <c r="H325" s="30"/>
      <c r="I325" s="30"/>
      <c r="J325" s="30"/>
      <c r="K325" s="30"/>
      <c r="L325" s="13"/>
      <c r="M325" s="5"/>
    </row>
    <row r="326" spans="1:1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5"/>
    </row>
    <row r="327" spans="1:13">
      <c r="A327" s="14" t="s">
        <v>99</v>
      </c>
      <c r="B327" s="15"/>
      <c r="C327" s="12" t="s">
        <v>232</v>
      </c>
      <c r="D327" s="12"/>
      <c r="E327" s="12"/>
      <c r="F327" s="12"/>
      <c r="G327" s="12"/>
      <c r="H327" s="12"/>
      <c r="I327" s="15"/>
      <c r="J327" s="13">
        <v>11676</v>
      </c>
      <c r="K327" s="12" t="s">
        <v>240</v>
      </c>
      <c r="L327" s="13">
        <f>SUM(B327:J328)</f>
        <v>40306</v>
      </c>
      <c r="M327" s="5"/>
    </row>
    <row r="328" spans="1:13">
      <c r="A328" s="13"/>
      <c r="B328" s="13"/>
      <c r="C328" s="13">
        <v>28630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5"/>
    </row>
    <row r="329" spans="1:1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5"/>
    </row>
    <row r="330" spans="1:13">
      <c r="A330" s="33" t="s">
        <v>111</v>
      </c>
      <c r="B330" s="29" t="s">
        <v>1214</v>
      </c>
      <c r="C330" s="32" t="s">
        <v>278</v>
      </c>
      <c r="D330" s="32" t="s">
        <v>1214</v>
      </c>
      <c r="E330" s="32" t="s">
        <v>278</v>
      </c>
      <c r="F330" s="32" t="s">
        <v>1214</v>
      </c>
      <c r="G330" s="32"/>
      <c r="H330" s="32"/>
      <c r="I330" s="29"/>
      <c r="J330" s="30">
        <v>2607</v>
      </c>
      <c r="K330" s="32" t="s">
        <v>1215</v>
      </c>
      <c r="L330" s="13">
        <f>SUM(B330:J331)</f>
        <v>54279</v>
      </c>
      <c r="M330" s="5"/>
    </row>
    <row r="331" spans="1:13">
      <c r="A331" s="30"/>
      <c r="B331" s="30">
        <v>19482</v>
      </c>
      <c r="C331" s="30">
        <v>22285</v>
      </c>
      <c r="D331" s="30">
        <v>2868</v>
      </c>
      <c r="E331" s="30">
        <v>5039</v>
      </c>
      <c r="F331" s="30">
        <v>1998</v>
      </c>
      <c r="G331" s="30"/>
      <c r="H331" s="30"/>
      <c r="I331" s="30"/>
      <c r="J331" s="30"/>
      <c r="K331" s="30"/>
      <c r="L331" s="13"/>
      <c r="M331" s="5"/>
    </row>
    <row r="332" spans="1:1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5"/>
    </row>
    <row r="333" spans="1:13">
      <c r="A333" s="14" t="s">
        <v>119</v>
      </c>
      <c r="B333" s="15" t="s">
        <v>1216</v>
      </c>
      <c r="C333" s="12" t="s">
        <v>1038</v>
      </c>
      <c r="D333" s="12" t="s">
        <v>1216</v>
      </c>
      <c r="E333" s="12" t="s">
        <v>1038</v>
      </c>
      <c r="F333" s="12" t="s">
        <v>1216</v>
      </c>
      <c r="G333" s="12"/>
      <c r="H333" s="12"/>
      <c r="I333" s="15"/>
      <c r="J333" s="13">
        <v>2059</v>
      </c>
      <c r="K333" s="12" t="s">
        <v>1217</v>
      </c>
      <c r="L333" s="13">
        <f>SUM(B333:J334)</f>
        <v>55534</v>
      </c>
      <c r="M333" s="5"/>
    </row>
    <row r="334" spans="1:13">
      <c r="A334" s="13"/>
      <c r="B334" s="13">
        <v>23477</v>
      </c>
      <c r="C334" s="13">
        <v>22491</v>
      </c>
      <c r="D334" s="13">
        <v>2199</v>
      </c>
      <c r="E334" s="13">
        <v>3966</v>
      </c>
      <c r="F334" s="13">
        <v>1342</v>
      </c>
      <c r="G334" s="13"/>
      <c r="H334" s="13"/>
      <c r="I334" s="13"/>
      <c r="J334" s="13"/>
      <c r="K334" s="13"/>
      <c r="L334" s="13"/>
      <c r="M334" s="5"/>
    </row>
    <row r="335" spans="1:1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5"/>
    </row>
    <row r="336" spans="1:13">
      <c r="A336" s="33" t="s">
        <v>127</v>
      </c>
      <c r="B336" s="29" t="s">
        <v>1218</v>
      </c>
      <c r="C336" s="32" t="s">
        <v>878</v>
      </c>
      <c r="D336" s="32" t="s">
        <v>878</v>
      </c>
      <c r="E336" s="32" t="s">
        <v>878</v>
      </c>
      <c r="F336" s="32" t="s">
        <v>1218</v>
      </c>
      <c r="G336" s="32"/>
      <c r="H336" s="32"/>
      <c r="I336" s="29"/>
      <c r="J336" s="30">
        <v>2118</v>
      </c>
      <c r="K336" s="32" t="s">
        <v>880</v>
      </c>
      <c r="L336" s="13">
        <f>SUM(B336:J337)</f>
        <v>52808</v>
      </c>
      <c r="M336" s="5"/>
    </row>
    <row r="337" spans="1:13">
      <c r="A337" s="30"/>
      <c r="B337" s="30">
        <v>16120</v>
      </c>
      <c r="C337" s="30">
        <v>26844</v>
      </c>
      <c r="D337" s="30">
        <v>2485</v>
      </c>
      <c r="E337" s="30">
        <v>3395</v>
      </c>
      <c r="F337" s="30">
        <v>1846</v>
      </c>
      <c r="G337" s="30"/>
      <c r="H337" s="30"/>
      <c r="I337" s="30"/>
      <c r="J337" s="30"/>
      <c r="K337" s="30"/>
      <c r="L337" s="13"/>
      <c r="M337" s="5"/>
    </row>
    <row r="338" spans="1:13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5"/>
    </row>
    <row r="339" spans="1:13">
      <c r="A339" s="14" t="s">
        <v>131</v>
      </c>
      <c r="B339" s="15" t="s">
        <v>1219</v>
      </c>
      <c r="C339" s="12" t="s">
        <v>1220</v>
      </c>
      <c r="D339" s="12" t="s">
        <v>1220</v>
      </c>
      <c r="E339" s="12" t="s">
        <v>1221</v>
      </c>
      <c r="F339" s="12"/>
      <c r="G339" s="12"/>
      <c r="H339" s="12"/>
      <c r="I339" s="12"/>
      <c r="J339" s="13">
        <v>1982</v>
      </c>
      <c r="K339" s="12" t="s">
        <v>132</v>
      </c>
      <c r="L339" s="13">
        <f>SUM(B339:J340)</f>
        <v>39143</v>
      </c>
      <c r="M339" s="5"/>
    </row>
    <row r="340" spans="1:13">
      <c r="A340" s="13"/>
      <c r="B340" s="13">
        <v>19920</v>
      </c>
      <c r="C340" s="13">
        <v>12435</v>
      </c>
      <c r="D340" s="13">
        <v>1392</v>
      </c>
      <c r="E340" s="13">
        <v>3414</v>
      </c>
      <c r="F340" s="13"/>
      <c r="G340" s="13"/>
      <c r="H340" s="13"/>
      <c r="I340" s="13"/>
      <c r="J340" s="13"/>
      <c r="K340" s="13"/>
      <c r="L340" s="13"/>
      <c r="M340" s="5"/>
    </row>
    <row r="341" spans="1:1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5"/>
    </row>
    <row r="342" spans="1:13">
      <c r="A342" s="33" t="s">
        <v>137</v>
      </c>
      <c r="B342" s="29"/>
      <c r="C342" s="32" t="s">
        <v>1041</v>
      </c>
      <c r="D342" s="32" t="s">
        <v>1041</v>
      </c>
      <c r="E342" s="32" t="s">
        <v>1041</v>
      </c>
      <c r="F342" s="32"/>
      <c r="G342" s="32"/>
      <c r="H342" s="32"/>
      <c r="I342" s="32"/>
      <c r="J342" s="30">
        <v>14237</v>
      </c>
      <c r="K342" s="32" t="s">
        <v>1042</v>
      </c>
      <c r="L342" s="13">
        <f>SUM(B342:J343)</f>
        <v>46678</v>
      </c>
      <c r="M342" s="5"/>
    </row>
    <row r="343" spans="1:13">
      <c r="A343" s="30"/>
      <c r="B343" s="30"/>
      <c r="C343" s="30">
        <v>24839</v>
      </c>
      <c r="D343" s="30">
        <v>4078</v>
      </c>
      <c r="E343" s="30">
        <v>3524</v>
      </c>
      <c r="F343" s="30"/>
      <c r="G343" s="30"/>
      <c r="H343" s="30"/>
      <c r="I343" s="30"/>
      <c r="J343" s="30"/>
      <c r="K343" s="30"/>
      <c r="L343" s="13"/>
      <c r="M343" s="5"/>
    </row>
    <row r="344" spans="1:1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5"/>
    </row>
    <row r="345" spans="1:13">
      <c r="A345" s="14" t="s">
        <v>146</v>
      </c>
      <c r="B345" s="15"/>
      <c r="C345" s="12" t="s">
        <v>1222</v>
      </c>
      <c r="D345" s="12" t="s">
        <v>1222</v>
      </c>
      <c r="E345" s="12"/>
      <c r="F345" s="12"/>
      <c r="G345" s="12"/>
      <c r="H345" s="12"/>
      <c r="I345" s="15"/>
      <c r="J345" s="13">
        <v>11420</v>
      </c>
      <c r="K345" s="12" t="s">
        <v>1223</v>
      </c>
      <c r="L345" s="13">
        <f>SUM(B345:J346)</f>
        <v>47855</v>
      </c>
      <c r="M345" s="5"/>
    </row>
    <row r="346" spans="1:13">
      <c r="A346" s="13"/>
      <c r="B346" s="13"/>
      <c r="C346" s="13">
        <v>30341</v>
      </c>
      <c r="D346" s="13">
        <v>6094</v>
      </c>
      <c r="E346" s="13"/>
      <c r="F346" s="13"/>
      <c r="G346" s="13"/>
      <c r="H346" s="13"/>
      <c r="I346" s="13"/>
      <c r="J346" s="13"/>
      <c r="K346" s="13"/>
      <c r="L346" s="13"/>
      <c r="M346" s="5"/>
    </row>
    <row r="347" spans="1:1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5"/>
    </row>
    <row r="348" spans="1:13">
      <c r="A348" s="33" t="s">
        <v>151</v>
      </c>
      <c r="B348" s="29" t="s">
        <v>419</v>
      </c>
      <c r="C348" s="32" t="s">
        <v>882</v>
      </c>
      <c r="D348" s="32" t="s">
        <v>882</v>
      </c>
      <c r="E348" s="32" t="s">
        <v>1224</v>
      </c>
      <c r="F348" s="32"/>
      <c r="G348" s="32"/>
      <c r="H348" s="32"/>
      <c r="I348" s="29"/>
      <c r="J348" s="30">
        <v>1968</v>
      </c>
      <c r="K348" s="32" t="s">
        <v>884</v>
      </c>
      <c r="L348" s="13">
        <f>SUM(B348:J349)</f>
        <v>36732</v>
      </c>
      <c r="M348" s="5"/>
    </row>
    <row r="349" spans="1:13">
      <c r="A349" s="30"/>
      <c r="B349" s="30">
        <v>8575</v>
      </c>
      <c r="C349" s="30">
        <v>17703</v>
      </c>
      <c r="D349" s="30">
        <v>3022</v>
      </c>
      <c r="E349" s="30">
        <v>5464</v>
      </c>
      <c r="F349" s="30"/>
      <c r="G349" s="30"/>
      <c r="H349" s="30"/>
      <c r="I349" s="30"/>
      <c r="J349" s="30"/>
      <c r="K349" s="30"/>
      <c r="L349" s="13"/>
      <c r="M349" s="5"/>
    </row>
    <row r="350" spans="1:1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5"/>
    </row>
    <row r="351" spans="1:13">
      <c r="A351" s="14" t="s">
        <v>157</v>
      </c>
      <c r="B351" s="15"/>
      <c r="C351" s="12" t="s">
        <v>865</v>
      </c>
      <c r="D351" s="12" t="s">
        <v>865</v>
      </c>
      <c r="E351" s="12" t="s">
        <v>865</v>
      </c>
      <c r="F351" s="12"/>
      <c r="G351" s="12"/>
      <c r="H351" s="12"/>
      <c r="I351" s="12"/>
      <c r="J351" s="13">
        <v>10627</v>
      </c>
      <c r="K351" s="12" t="s">
        <v>867</v>
      </c>
      <c r="L351" s="13">
        <f>SUM(B351:J352)</f>
        <v>41608</v>
      </c>
      <c r="M351" s="5"/>
    </row>
    <row r="352" spans="1:13">
      <c r="A352" s="13"/>
      <c r="B352" s="13"/>
      <c r="C352" s="13">
        <v>24274</v>
      </c>
      <c r="D352" s="13">
        <v>3605</v>
      </c>
      <c r="E352" s="13">
        <v>3102</v>
      </c>
      <c r="F352" s="13"/>
      <c r="G352" s="13"/>
      <c r="H352" s="13"/>
      <c r="I352" s="13"/>
      <c r="J352" s="13"/>
      <c r="K352" s="13"/>
      <c r="L352" s="13"/>
      <c r="M352" s="5"/>
    </row>
    <row r="353" spans="1:1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5"/>
    </row>
    <row r="354" spans="1:13">
      <c r="A354" s="33" t="s">
        <v>165</v>
      </c>
      <c r="B354" s="29" t="s">
        <v>1225</v>
      </c>
      <c r="C354" s="32" t="s">
        <v>419</v>
      </c>
      <c r="D354" s="32" t="s">
        <v>419</v>
      </c>
      <c r="E354" s="32" t="s">
        <v>419</v>
      </c>
      <c r="F354" s="32" t="s">
        <v>1226</v>
      </c>
      <c r="G354" s="32"/>
      <c r="H354" s="32"/>
      <c r="I354" s="29"/>
      <c r="J354" s="30">
        <v>979</v>
      </c>
      <c r="K354" s="32" t="s">
        <v>1227</v>
      </c>
      <c r="L354" s="13">
        <f>SUM(B354:J355)</f>
        <v>32412</v>
      </c>
      <c r="M354" s="5"/>
    </row>
    <row r="355" spans="1:13">
      <c r="A355" s="30"/>
      <c r="B355" s="30">
        <v>17514</v>
      </c>
      <c r="C355" s="30">
        <v>10456</v>
      </c>
      <c r="D355" s="30">
        <v>866</v>
      </c>
      <c r="E355" s="30">
        <v>1402</v>
      </c>
      <c r="F355" s="30">
        <v>1195</v>
      </c>
      <c r="G355" s="30"/>
      <c r="H355" s="30"/>
      <c r="I355" s="30"/>
      <c r="J355" s="30"/>
      <c r="K355" s="30"/>
      <c r="L355" s="13"/>
      <c r="M355" s="5"/>
    </row>
    <row r="356" spans="1:1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5"/>
    </row>
    <row r="357" spans="1:13">
      <c r="A357" s="14" t="s">
        <v>169</v>
      </c>
      <c r="B357" s="15"/>
      <c r="C357" s="12" t="s">
        <v>233</v>
      </c>
      <c r="D357" s="15" t="s">
        <v>233</v>
      </c>
      <c r="E357" s="15" t="s">
        <v>233</v>
      </c>
      <c r="F357" s="15"/>
      <c r="G357" s="15"/>
      <c r="H357" s="15"/>
      <c r="I357" s="12"/>
      <c r="J357" s="13">
        <v>9732</v>
      </c>
      <c r="K357" s="12" t="s">
        <v>441</v>
      </c>
      <c r="L357" s="13">
        <f>SUM(B357:J358)</f>
        <v>38548</v>
      </c>
      <c r="M357" s="5"/>
    </row>
    <row r="358" spans="1:13">
      <c r="A358" s="13"/>
      <c r="B358" s="13"/>
      <c r="C358" s="13">
        <v>23829</v>
      </c>
      <c r="D358" s="13">
        <v>2677</v>
      </c>
      <c r="E358" s="13">
        <v>2310</v>
      </c>
      <c r="F358" s="13"/>
      <c r="G358" s="13"/>
      <c r="H358" s="13"/>
      <c r="I358" s="13"/>
      <c r="J358" s="13"/>
      <c r="K358" s="13"/>
      <c r="L358" s="13"/>
      <c r="M358" s="5"/>
    </row>
    <row r="359" spans="1:1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5"/>
    </row>
    <row r="360" spans="1:13">
      <c r="A360" s="33" t="s">
        <v>175</v>
      </c>
      <c r="B360" s="29" t="s">
        <v>279</v>
      </c>
      <c r="C360" s="32" t="s">
        <v>1228</v>
      </c>
      <c r="D360" s="32"/>
      <c r="E360" s="32" t="s">
        <v>1228</v>
      </c>
      <c r="F360" s="32" t="s">
        <v>279</v>
      </c>
      <c r="G360" s="32"/>
      <c r="H360" s="32"/>
      <c r="I360" s="29"/>
      <c r="J360" s="30">
        <v>2034</v>
      </c>
      <c r="K360" s="32" t="s">
        <v>280</v>
      </c>
      <c r="L360" s="13">
        <f>SUM(B360:J361)</f>
        <v>35184</v>
      </c>
      <c r="M360" s="5"/>
    </row>
    <row r="361" spans="1:13">
      <c r="A361" s="30"/>
      <c r="B361" s="30">
        <v>17013</v>
      </c>
      <c r="C361" s="30">
        <v>13167</v>
      </c>
      <c r="D361" s="30"/>
      <c r="E361" s="30">
        <v>1642</v>
      </c>
      <c r="F361" s="30">
        <v>1328</v>
      </c>
      <c r="G361" s="30"/>
      <c r="H361" s="30"/>
      <c r="I361" s="30"/>
      <c r="J361" s="30"/>
      <c r="K361" s="30"/>
      <c r="L361" s="13"/>
      <c r="M361" s="5"/>
    </row>
    <row r="362" spans="1:1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5"/>
    </row>
    <row r="363" spans="1:13">
      <c r="A363" s="14" t="s">
        <v>178</v>
      </c>
      <c r="B363" s="15" t="s">
        <v>868</v>
      </c>
      <c r="C363" s="12" t="s">
        <v>889</v>
      </c>
      <c r="D363" s="12" t="s">
        <v>889</v>
      </c>
      <c r="E363" s="12" t="s">
        <v>1229</v>
      </c>
      <c r="F363" s="12" t="s">
        <v>868</v>
      </c>
      <c r="G363" s="12" t="s">
        <v>1283</v>
      </c>
      <c r="H363" s="12"/>
      <c r="I363" s="12"/>
      <c r="J363" s="13">
        <v>2517</v>
      </c>
      <c r="K363" s="12" t="s">
        <v>890</v>
      </c>
      <c r="L363" s="13">
        <f>SUM(B363:J364)</f>
        <v>38482</v>
      </c>
      <c r="M363" s="5"/>
    </row>
    <row r="364" spans="1:13">
      <c r="A364" s="13"/>
      <c r="B364" s="13">
        <v>17945</v>
      </c>
      <c r="C364" s="13">
        <v>10540</v>
      </c>
      <c r="D364" s="13">
        <v>1022</v>
      </c>
      <c r="E364" s="13">
        <v>3585</v>
      </c>
      <c r="F364" s="13">
        <v>1644</v>
      </c>
      <c r="G364" s="13">
        <v>1229</v>
      </c>
      <c r="H364" s="13"/>
      <c r="I364" s="13"/>
      <c r="J364" s="13"/>
      <c r="K364" s="13"/>
      <c r="L364" s="13"/>
      <c r="M364" s="5"/>
    </row>
    <row r="365" spans="1:1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5"/>
    </row>
    <row r="366" spans="1:13">
      <c r="A366" s="30" t="s">
        <v>180</v>
      </c>
      <c r="B366" s="29" t="s">
        <v>191</v>
      </c>
      <c r="C366" s="29" t="s">
        <v>1230</v>
      </c>
      <c r="D366" s="29" t="s">
        <v>1230</v>
      </c>
      <c r="E366" s="29" t="s">
        <v>1230</v>
      </c>
      <c r="F366" s="29" t="s">
        <v>191</v>
      </c>
      <c r="G366" s="29"/>
      <c r="H366" s="29"/>
      <c r="I366" s="29"/>
      <c r="J366" s="30">
        <v>1396</v>
      </c>
      <c r="K366" s="32" t="s">
        <v>192</v>
      </c>
      <c r="L366" s="13">
        <f>SUM(B366:J367)</f>
        <v>31407</v>
      </c>
      <c r="M366" s="5"/>
    </row>
    <row r="367" spans="1:13">
      <c r="A367" s="33"/>
      <c r="B367" s="30">
        <v>17100</v>
      </c>
      <c r="C367" s="30">
        <v>8382</v>
      </c>
      <c r="D367" s="30">
        <v>834</v>
      </c>
      <c r="E367" s="30">
        <v>1880</v>
      </c>
      <c r="F367" s="30">
        <v>1815</v>
      </c>
      <c r="G367" s="30"/>
      <c r="H367" s="30"/>
      <c r="I367" s="30"/>
      <c r="J367" s="30"/>
      <c r="K367" s="30"/>
      <c r="L367" s="13"/>
      <c r="M367" s="5"/>
    </row>
    <row r="368" spans="1:13">
      <c r="A368" s="14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5"/>
    </row>
    <row r="369" spans="1:13">
      <c r="A369" s="13" t="s">
        <v>182</v>
      </c>
      <c r="B369" s="15" t="s">
        <v>269</v>
      </c>
      <c r="C369" s="12" t="s">
        <v>231</v>
      </c>
      <c r="D369" s="12" t="s">
        <v>231</v>
      </c>
      <c r="E369" s="12" t="s">
        <v>231</v>
      </c>
      <c r="F369" s="12" t="s">
        <v>269</v>
      </c>
      <c r="G369" s="12"/>
      <c r="H369" s="12"/>
      <c r="I369" s="15"/>
      <c r="J369" s="13">
        <v>1912</v>
      </c>
      <c r="K369" s="12" t="s">
        <v>1231</v>
      </c>
      <c r="L369" s="13">
        <f>SUM(B369:J370)</f>
        <v>46736</v>
      </c>
      <c r="M369" s="5"/>
    </row>
    <row r="370" spans="1:13">
      <c r="A370" s="13"/>
      <c r="B370" s="13">
        <v>19898</v>
      </c>
      <c r="C370" s="13">
        <v>17780</v>
      </c>
      <c r="D370" s="13">
        <v>1412</v>
      </c>
      <c r="E370" s="13">
        <v>3706</v>
      </c>
      <c r="F370" s="13">
        <v>2028</v>
      </c>
      <c r="G370" s="13"/>
      <c r="H370" s="13"/>
      <c r="I370" s="13"/>
      <c r="J370" s="13"/>
      <c r="K370" s="13"/>
      <c r="L370" s="13"/>
      <c r="M370" s="5"/>
    </row>
    <row r="371" spans="1:1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5"/>
    </row>
    <row r="372" spans="1:13">
      <c r="A372" s="33" t="s">
        <v>183</v>
      </c>
      <c r="B372" s="29" t="s">
        <v>1232</v>
      </c>
      <c r="C372" s="32" t="s">
        <v>318</v>
      </c>
      <c r="D372" s="32" t="s">
        <v>1232</v>
      </c>
      <c r="E372" s="32" t="s">
        <v>318</v>
      </c>
      <c r="F372" s="32"/>
      <c r="G372" s="32"/>
      <c r="H372" s="32"/>
      <c r="I372" s="29"/>
      <c r="J372" s="30">
        <v>2267</v>
      </c>
      <c r="K372" s="32" t="s">
        <v>1233</v>
      </c>
      <c r="L372" s="13">
        <f>SUM(B372:J373)</f>
        <v>31820</v>
      </c>
      <c r="M372" s="5"/>
    </row>
    <row r="373" spans="1:13">
      <c r="A373" s="30"/>
      <c r="B373" s="30">
        <v>11723</v>
      </c>
      <c r="C373" s="30">
        <v>14407</v>
      </c>
      <c r="D373" s="30">
        <v>1633</v>
      </c>
      <c r="E373" s="30">
        <v>1790</v>
      </c>
      <c r="F373" s="30"/>
      <c r="G373" s="30"/>
      <c r="H373" s="30"/>
      <c r="I373" s="30"/>
      <c r="J373" s="30"/>
      <c r="K373" s="30"/>
      <c r="L373" s="13"/>
      <c r="M373" s="5"/>
    </row>
    <row r="374" spans="1:1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5"/>
    </row>
    <row r="375" spans="1:13">
      <c r="A375" s="13" t="s">
        <v>184</v>
      </c>
      <c r="B375" s="15"/>
      <c r="C375" s="15" t="s">
        <v>209</v>
      </c>
      <c r="D375" s="15" t="s">
        <v>209</v>
      </c>
      <c r="E375" s="15" t="s">
        <v>209</v>
      </c>
      <c r="F375" s="15"/>
      <c r="G375" s="15"/>
      <c r="H375" s="15"/>
      <c r="I375" s="15"/>
      <c r="J375" s="13">
        <v>9840</v>
      </c>
      <c r="K375" s="12" t="s">
        <v>210</v>
      </c>
      <c r="L375" s="13">
        <f>SUM(B375:J376)</f>
        <v>38409</v>
      </c>
      <c r="M375" s="5"/>
    </row>
    <row r="376" spans="1:13">
      <c r="A376" s="13"/>
      <c r="B376" s="13"/>
      <c r="C376" s="13">
        <v>22942</v>
      </c>
      <c r="D376" s="13">
        <v>3051</v>
      </c>
      <c r="E376" s="13">
        <v>2576</v>
      </c>
      <c r="F376" s="13"/>
      <c r="G376" s="13"/>
      <c r="H376" s="13"/>
      <c r="I376" s="13"/>
      <c r="J376" s="13"/>
      <c r="K376" s="13"/>
      <c r="L376" s="13"/>
      <c r="M376" s="5"/>
    </row>
    <row r="377" spans="1:1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5"/>
    </row>
    <row r="378" spans="1:13">
      <c r="A378" s="30" t="s">
        <v>185</v>
      </c>
      <c r="B378" s="29"/>
      <c r="C378" s="29" t="s">
        <v>234</v>
      </c>
      <c r="D378" s="29" t="s">
        <v>234</v>
      </c>
      <c r="E378" s="29" t="s">
        <v>234</v>
      </c>
      <c r="F378" s="29"/>
      <c r="G378" s="29"/>
      <c r="H378" s="29"/>
      <c r="I378" s="29"/>
      <c r="J378" s="30">
        <v>11146</v>
      </c>
      <c r="K378" s="32" t="s">
        <v>249</v>
      </c>
      <c r="L378" s="13">
        <f>SUM(B378:J379)</f>
        <v>42447</v>
      </c>
      <c r="M378" s="5"/>
    </row>
    <row r="379" spans="1:13">
      <c r="A379" s="30"/>
      <c r="B379" s="30"/>
      <c r="C379" s="30">
        <v>23579</v>
      </c>
      <c r="D379" s="30">
        <v>4044</v>
      </c>
      <c r="E379" s="30">
        <v>3678</v>
      </c>
      <c r="F379" s="30"/>
      <c r="G379" s="30"/>
      <c r="H379" s="30"/>
      <c r="I379" s="30"/>
      <c r="J379" s="30"/>
      <c r="K379" s="30"/>
      <c r="L379" s="13"/>
      <c r="M379" s="5"/>
    </row>
    <row r="380" spans="1:1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5"/>
    </row>
    <row r="381" spans="1:13">
      <c r="A381" s="14" t="s">
        <v>7</v>
      </c>
      <c r="B381" s="15" t="s">
        <v>235</v>
      </c>
      <c r="C381" s="15" t="s">
        <v>1234</v>
      </c>
      <c r="D381" s="15" t="s">
        <v>1234</v>
      </c>
      <c r="E381" s="15" t="s">
        <v>1234</v>
      </c>
      <c r="F381" s="15" t="s">
        <v>235</v>
      </c>
      <c r="G381" s="15"/>
      <c r="H381" s="15"/>
      <c r="I381" s="15"/>
      <c r="J381" s="13">
        <v>1498</v>
      </c>
      <c r="K381" s="12" t="s">
        <v>236</v>
      </c>
      <c r="L381" s="13">
        <f>SUM(B381:J382)</f>
        <v>37352</v>
      </c>
      <c r="M381" s="5"/>
    </row>
    <row r="382" spans="1:13">
      <c r="A382" s="13"/>
      <c r="B382" s="13">
        <v>18969</v>
      </c>
      <c r="C382" s="13">
        <v>11240</v>
      </c>
      <c r="D382" s="13">
        <v>921</v>
      </c>
      <c r="E382" s="13">
        <v>1283</v>
      </c>
      <c r="F382" s="13">
        <v>3441</v>
      </c>
      <c r="G382" s="13"/>
      <c r="H382" s="13"/>
      <c r="I382" s="13"/>
      <c r="J382" s="13"/>
      <c r="K382" s="13"/>
      <c r="L382" s="13"/>
      <c r="M382" s="5"/>
    </row>
    <row r="383" spans="1:13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5"/>
    </row>
    <row r="384" spans="1:13">
      <c r="A384" s="33" t="s">
        <v>9</v>
      </c>
      <c r="B384" s="29" t="s">
        <v>237</v>
      </c>
      <c r="C384" s="32" t="s">
        <v>1235</v>
      </c>
      <c r="D384" s="32" t="s">
        <v>1235</v>
      </c>
      <c r="E384" s="32" t="s">
        <v>1235</v>
      </c>
      <c r="F384" s="32" t="s">
        <v>237</v>
      </c>
      <c r="G384" s="32"/>
      <c r="H384" s="32"/>
      <c r="I384" s="29" t="s">
        <v>1236</v>
      </c>
      <c r="J384" s="30">
        <v>1355</v>
      </c>
      <c r="K384" s="32" t="s">
        <v>250</v>
      </c>
      <c r="L384" s="13">
        <f>SUM(B384:J385)</f>
        <v>38947</v>
      </c>
      <c r="M384" s="5"/>
    </row>
    <row r="385" spans="1:13">
      <c r="A385" s="30"/>
      <c r="B385" s="30">
        <v>19345</v>
      </c>
      <c r="C385" s="30">
        <v>13669</v>
      </c>
      <c r="D385" s="30">
        <v>673</v>
      </c>
      <c r="E385" s="30">
        <v>1580</v>
      </c>
      <c r="F385" s="30">
        <v>1771</v>
      </c>
      <c r="G385" s="30"/>
      <c r="H385" s="30"/>
      <c r="I385" s="30">
        <v>554</v>
      </c>
      <c r="J385" s="30"/>
      <c r="K385" s="30"/>
      <c r="L385" s="13"/>
      <c r="M385" s="5"/>
    </row>
    <row r="386" spans="1:1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5"/>
    </row>
    <row r="387" spans="1:13">
      <c r="A387" s="14" t="s">
        <v>15</v>
      </c>
      <c r="B387" s="15"/>
      <c r="C387" s="12" t="s">
        <v>270</v>
      </c>
      <c r="D387" s="12" t="s">
        <v>270</v>
      </c>
      <c r="E387" s="12" t="s">
        <v>270</v>
      </c>
      <c r="F387" s="12"/>
      <c r="G387" s="12"/>
      <c r="H387" s="12"/>
      <c r="I387" s="15"/>
      <c r="J387" s="13">
        <v>11896</v>
      </c>
      <c r="K387" s="12" t="s">
        <v>271</v>
      </c>
      <c r="L387" s="13">
        <f>SUM(B387:J388)</f>
        <v>43457</v>
      </c>
      <c r="M387" s="5"/>
    </row>
    <row r="388" spans="1:13">
      <c r="A388" s="13"/>
      <c r="B388" s="13"/>
      <c r="C388" s="13">
        <v>23644</v>
      </c>
      <c r="D388" s="13">
        <v>4080</v>
      </c>
      <c r="E388" s="13">
        <v>3837</v>
      </c>
      <c r="F388" s="13"/>
      <c r="G388" s="13"/>
      <c r="H388" s="13"/>
      <c r="I388" s="13"/>
      <c r="J388" s="13"/>
      <c r="K388" s="13"/>
      <c r="L388" s="13"/>
      <c r="M388" s="5"/>
    </row>
    <row r="389" spans="1:1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5"/>
    </row>
    <row r="390" spans="1:13">
      <c r="A390" s="33" t="s">
        <v>17</v>
      </c>
      <c r="B390" s="29"/>
      <c r="C390" s="32" t="s">
        <v>1237</v>
      </c>
      <c r="D390" s="30"/>
      <c r="E390" s="32" t="s">
        <v>251</v>
      </c>
      <c r="F390" s="32"/>
      <c r="G390" s="32"/>
      <c r="H390" s="32"/>
      <c r="I390" s="29"/>
      <c r="J390" s="30">
        <v>8336</v>
      </c>
      <c r="K390" s="32" t="s">
        <v>18</v>
      </c>
      <c r="L390" s="13">
        <f>SUM(B390:J391)</f>
        <v>36038</v>
      </c>
      <c r="M390" s="5"/>
    </row>
    <row r="391" spans="1:13">
      <c r="A391" s="30"/>
      <c r="B391" s="30"/>
      <c r="C391" s="30">
        <v>22454</v>
      </c>
      <c r="D391" s="30"/>
      <c r="E391" s="30">
        <v>5248</v>
      </c>
      <c r="F391" s="30"/>
      <c r="G391" s="30"/>
      <c r="H391" s="30"/>
      <c r="I391" s="30"/>
      <c r="J391" s="30"/>
      <c r="K391" s="30"/>
      <c r="L391" s="13"/>
      <c r="M391" s="5"/>
    </row>
    <row r="392" spans="1:1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5"/>
    </row>
    <row r="393" spans="1:13">
      <c r="A393" s="14" t="s">
        <v>25</v>
      </c>
      <c r="B393" s="15"/>
      <c r="C393" s="12" t="s">
        <v>211</v>
      </c>
      <c r="D393" s="12" t="s">
        <v>211</v>
      </c>
      <c r="E393" s="12" t="s">
        <v>211</v>
      </c>
      <c r="F393" s="12"/>
      <c r="G393" s="12"/>
      <c r="H393" s="12"/>
      <c r="I393" s="15"/>
      <c r="J393" s="13">
        <v>10521</v>
      </c>
      <c r="K393" s="12" t="s">
        <v>212</v>
      </c>
      <c r="L393" s="13">
        <f>SUM(B393:J394)</f>
        <v>40767</v>
      </c>
      <c r="M393" s="5"/>
    </row>
    <row r="394" spans="1:13">
      <c r="A394" s="13"/>
      <c r="B394" s="13"/>
      <c r="C394" s="13">
        <v>23494</v>
      </c>
      <c r="D394" s="13">
        <v>3546</v>
      </c>
      <c r="E394" s="13">
        <v>3206</v>
      </c>
      <c r="F394" s="13"/>
      <c r="G394" s="13"/>
      <c r="H394" s="13"/>
      <c r="I394" s="13"/>
      <c r="J394" s="13"/>
      <c r="K394" s="13"/>
      <c r="L394" s="13"/>
      <c r="M394" s="5"/>
    </row>
    <row r="395" spans="1:13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5"/>
    </row>
    <row r="396" spans="1:13">
      <c r="A396" s="33" t="s">
        <v>31</v>
      </c>
      <c r="B396" s="29" t="s">
        <v>1238</v>
      </c>
      <c r="C396" s="32" t="s">
        <v>1239</v>
      </c>
      <c r="D396" s="32" t="s">
        <v>1239</v>
      </c>
      <c r="E396" s="32" t="s">
        <v>1239</v>
      </c>
      <c r="F396" s="32"/>
      <c r="G396" s="32"/>
      <c r="H396" s="32"/>
      <c r="I396" s="29"/>
      <c r="J396" s="30">
        <v>2970</v>
      </c>
      <c r="K396" s="32" t="s">
        <v>1240</v>
      </c>
      <c r="L396" s="13">
        <f>SUM(B396:J397)</f>
        <v>48844</v>
      </c>
      <c r="M396" s="5"/>
    </row>
    <row r="397" spans="1:13">
      <c r="A397" s="30"/>
      <c r="B397" s="30">
        <v>18967</v>
      </c>
      <c r="C397" s="30">
        <v>21370</v>
      </c>
      <c r="D397" s="30">
        <v>1538</v>
      </c>
      <c r="E397" s="30">
        <v>3999</v>
      </c>
      <c r="F397" s="30"/>
      <c r="G397" s="30"/>
      <c r="H397" s="30"/>
      <c r="I397" s="30"/>
      <c r="J397" s="30"/>
      <c r="K397" s="30"/>
      <c r="L397" s="13"/>
      <c r="M397" s="5"/>
    </row>
    <row r="398" spans="1:1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5"/>
    </row>
    <row r="399" spans="1:13">
      <c r="A399" s="14" t="s">
        <v>35</v>
      </c>
      <c r="B399" s="15" t="s">
        <v>319</v>
      </c>
      <c r="C399" s="12" t="s">
        <v>1241</v>
      </c>
      <c r="D399" s="12" t="s">
        <v>1241</v>
      </c>
      <c r="E399" s="12" t="s">
        <v>1241</v>
      </c>
      <c r="F399" s="12" t="s">
        <v>319</v>
      </c>
      <c r="G399" s="12"/>
      <c r="H399" s="12"/>
      <c r="I399" s="15"/>
      <c r="J399" s="13">
        <v>2390</v>
      </c>
      <c r="K399" s="12" t="s">
        <v>320</v>
      </c>
      <c r="L399" s="13">
        <f>SUM(B399:J400)</f>
        <v>32075</v>
      </c>
      <c r="M399" s="5"/>
    </row>
    <row r="400" spans="1:13">
      <c r="A400" s="13"/>
      <c r="B400" s="13">
        <v>14840</v>
      </c>
      <c r="C400" s="13">
        <v>9988</v>
      </c>
      <c r="D400" s="13">
        <v>1021</v>
      </c>
      <c r="E400" s="13">
        <v>2358</v>
      </c>
      <c r="F400" s="13">
        <v>1478</v>
      </c>
      <c r="G400" s="13"/>
      <c r="H400" s="13"/>
      <c r="I400" s="13"/>
      <c r="J400" s="13"/>
      <c r="K400" s="13"/>
      <c r="L400" s="13"/>
      <c r="M400" s="5"/>
    </row>
    <row r="401" spans="1:1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>
      <c r="A402" s="30" t="s">
        <v>44</v>
      </c>
      <c r="B402" s="29" t="s">
        <v>194</v>
      </c>
      <c r="C402" s="29" t="s">
        <v>1242</v>
      </c>
      <c r="D402" s="29" t="s">
        <v>194</v>
      </c>
      <c r="E402" s="29"/>
      <c r="F402" s="29"/>
      <c r="G402" s="29"/>
      <c r="H402" s="29"/>
      <c r="I402" s="30"/>
      <c r="J402" s="30">
        <v>3188</v>
      </c>
      <c r="K402" s="29" t="s">
        <v>45</v>
      </c>
      <c r="L402" s="13">
        <f>SUM(B402:J403)</f>
        <v>43600</v>
      </c>
      <c r="M402" s="13"/>
    </row>
    <row r="403" spans="1:13">
      <c r="A403" s="30"/>
      <c r="B403" s="30">
        <v>22157</v>
      </c>
      <c r="C403" s="30">
        <v>15772</v>
      </c>
      <c r="D403" s="30">
        <v>2483</v>
      </c>
      <c r="E403" s="30"/>
      <c r="F403" s="30"/>
      <c r="G403" s="30"/>
      <c r="H403" s="30"/>
      <c r="I403" s="30"/>
      <c r="J403" s="30"/>
      <c r="K403" s="30"/>
      <c r="L403" s="13"/>
      <c r="M403" s="13"/>
    </row>
    <row r="404" spans="1:1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>
      <c r="A405" s="13" t="s">
        <v>49</v>
      </c>
      <c r="B405" s="15" t="s">
        <v>195</v>
      </c>
      <c r="C405" s="15"/>
      <c r="D405" s="15"/>
      <c r="E405" s="15"/>
      <c r="F405" s="15"/>
      <c r="G405" s="15"/>
      <c r="H405" s="15"/>
      <c r="I405" s="15"/>
      <c r="J405" s="13">
        <v>7554</v>
      </c>
      <c r="K405" s="15" t="s">
        <v>50</v>
      </c>
      <c r="L405" s="13">
        <f>SUM(B405:J406)</f>
        <v>22526</v>
      </c>
      <c r="M405" s="13"/>
    </row>
    <row r="406" spans="1:13">
      <c r="A406" s="13"/>
      <c r="B406" s="13">
        <v>14972</v>
      </c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>
      <c r="A408" s="30" t="s">
        <v>57</v>
      </c>
      <c r="B408" s="29" t="s">
        <v>1243</v>
      </c>
      <c r="C408" s="29" t="s">
        <v>1051</v>
      </c>
      <c r="D408" s="29" t="s">
        <v>1051</v>
      </c>
      <c r="E408" s="29" t="s">
        <v>1051</v>
      </c>
      <c r="F408" s="29"/>
      <c r="G408" s="29"/>
      <c r="H408" s="29"/>
      <c r="I408" s="29"/>
      <c r="J408" s="30">
        <v>2731</v>
      </c>
      <c r="K408" s="29" t="s">
        <v>1052</v>
      </c>
      <c r="L408" s="13">
        <f>SUM(B408:J409)</f>
        <v>42136</v>
      </c>
      <c r="M408" s="13"/>
    </row>
    <row r="409" spans="1:13">
      <c r="A409" s="30"/>
      <c r="B409" s="30">
        <v>11998</v>
      </c>
      <c r="C409" s="30">
        <v>20888</v>
      </c>
      <c r="D409" s="30">
        <v>2138</v>
      </c>
      <c r="E409" s="30">
        <v>4381</v>
      </c>
      <c r="F409" s="30"/>
      <c r="G409" s="30"/>
      <c r="H409" s="30"/>
      <c r="I409" s="30"/>
      <c r="J409" s="30"/>
      <c r="K409" s="30"/>
      <c r="L409" s="13"/>
      <c r="M409" s="13"/>
    </row>
    <row r="410" spans="1:1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>
      <c r="A411" s="13" t="s">
        <v>60</v>
      </c>
      <c r="B411" s="15" t="s">
        <v>1053</v>
      </c>
      <c r="C411" s="15" t="s">
        <v>321</v>
      </c>
      <c r="D411" s="15" t="s">
        <v>1053</v>
      </c>
      <c r="E411" s="15" t="s">
        <v>321</v>
      </c>
      <c r="F411" s="15" t="s">
        <v>1053</v>
      </c>
      <c r="G411" s="15"/>
      <c r="H411" s="15"/>
      <c r="I411" s="15"/>
      <c r="J411" s="13">
        <v>1974</v>
      </c>
      <c r="K411" s="15" t="s">
        <v>322</v>
      </c>
      <c r="L411" s="13">
        <f>SUM(B411:J412)</f>
        <v>54343</v>
      </c>
      <c r="M411" s="13"/>
    </row>
    <row r="412" spans="1:13">
      <c r="A412" s="13"/>
      <c r="B412" s="13">
        <v>21755</v>
      </c>
      <c r="C412" s="13">
        <v>22029</v>
      </c>
      <c r="D412" s="13">
        <v>2633</v>
      </c>
      <c r="E412" s="13">
        <v>4855</v>
      </c>
      <c r="F412" s="13">
        <v>1097</v>
      </c>
      <c r="G412" s="13"/>
      <c r="H412" s="13"/>
      <c r="I412" s="13"/>
      <c r="J412" s="13"/>
      <c r="K412" s="13"/>
      <c r="L412" s="13"/>
      <c r="M412" s="13"/>
    </row>
    <row r="413" spans="1: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>
      <c r="A414" s="30" t="s">
        <v>66</v>
      </c>
      <c r="B414" s="29"/>
      <c r="C414" s="29" t="s">
        <v>323</v>
      </c>
      <c r="D414" s="29" t="s">
        <v>323</v>
      </c>
      <c r="E414" s="29" t="s">
        <v>323</v>
      </c>
      <c r="F414" s="29"/>
      <c r="G414" s="29"/>
      <c r="H414" s="29"/>
      <c r="I414" s="29" t="s">
        <v>1244</v>
      </c>
      <c r="J414" s="30">
        <v>7634</v>
      </c>
      <c r="K414" s="29" t="s">
        <v>445</v>
      </c>
      <c r="L414" s="13">
        <f>SUM(B414:J415)</f>
        <v>35278</v>
      </c>
      <c r="M414" s="13"/>
    </row>
    <row r="415" spans="1:13">
      <c r="A415" s="30"/>
      <c r="B415" s="30"/>
      <c r="C415" s="30">
        <v>21341</v>
      </c>
      <c r="D415" s="30">
        <v>1476</v>
      </c>
      <c r="E415" s="30">
        <v>2013</v>
      </c>
      <c r="F415" s="30"/>
      <c r="G415" s="30"/>
      <c r="H415" s="30"/>
      <c r="I415" s="30">
        <v>2814</v>
      </c>
      <c r="J415" s="30"/>
      <c r="K415" s="30"/>
      <c r="L415" s="13"/>
      <c r="M415" s="13"/>
    </row>
    <row r="416" spans="1:13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>
      <c r="A417" s="13" t="s">
        <v>74</v>
      </c>
      <c r="B417" s="15" t="s">
        <v>1245</v>
      </c>
      <c r="C417" s="15" t="s">
        <v>324</v>
      </c>
      <c r="D417" s="15"/>
      <c r="E417" s="15" t="s">
        <v>1246</v>
      </c>
      <c r="F417" s="15"/>
      <c r="G417" s="15"/>
      <c r="H417" s="15"/>
      <c r="I417" s="15"/>
      <c r="J417" s="13">
        <v>1688</v>
      </c>
      <c r="K417" s="15" t="s">
        <v>325</v>
      </c>
      <c r="L417" s="13">
        <f>SUM(B417:J418)</f>
        <v>35457</v>
      </c>
      <c r="M417" s="13"/>
    </row>
    <row r="418" spans="1:13">
      <c r="A418" s="13"/>
      <c r="B418" s="13">
        <v>10844</v>
      </c>
      <c r="C418" s="13">
        <v>21248</v>
      </c>
      <c r="D418" s="13"/>
      <c r="E418" s="13">
        <v>1677</v>
      </c>
      <c r="F418" s="13"/>
      <c r="G418" s="13"/>
      <c r="H418" s="13"/>
      <c r="I418" s="13"/>
      <c r="J418" s="13"/>
      <c r="K418" s="13"/>
      <c r="L418" s="13"/>
      <c r="M418" s="13"/>
    </row>
    <row r="419" spans="1:13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>
      <c r="A420" s="30" t="s">
        <v>81</v>
      </c>
      <c r="B420" s="29" t="s">
        <v>1247</v>
      </c>
      <c r="C420" s="29" t="s">
        <v>326</v>
      </c>
      <c r="D420" s="29" t="s">
        <v>326</v>
      </c>
      <c r="E420" s="29" t="s">
        <v>1247</v>
      </c>
      <c r="F420" s="29" t="s">
        <v>1248</v>
      </c>
      <c r="G420" s="29"/>
      <c r="H420" s="29"/>
      <c r="I420" s="29" t="s">
        <v>1249</v>
      </c>
      <c r="J420" s="30">
        <v>2230</v>
      </c>
      <c r="K420" s="29" t="s">
        <v>906</v>
      </c>
      <c r="L420" s="13">
        <f>SUM(B420:J421)</f>
        <v>38275</v>
      </c>
      <c r="M420" s="13"/>
    </row>
    <row r="421" spans="1:13">
      <c r="A421" s="30"/>
      <c r="B421" s="30">
        <v>10370</v>
      </c>
      <c r="C421" s="30">
        <v>15282</v>
      </c>
      <c r="D421" s="30">
        <v>1348</v>
      </c>
      <c r="E421" s="30">
        <v>1615</v>
      </c>
      <c r="F421" s="30">
        <v>7338</v>
      </c>
      <c r="G421" s="30"/>
      <c r="H421" s="30"/>
      <c r="I421" s="30">
        <v>92</v>
      </c>
      <c r="J421" s="30"/>
      <c r="K421" s="30"/>
      <c r="L421" s="13"/>
      <c r="M421" s="13"/>
    </row>
    <row r="422" spans="1:13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>
      <c r="A423" s="13" t="s">
        <v>86</v>
      </c>
      <c r="B423" s="15" t="s">
        <v>1250</v>
      </c>
      <c r="C423" s="15" t="s">
        <v>254</v>
      </c>
      <c r="D423" s="15" t="s">
        <v>254</v>
      </c>
      <c r="E423" s="15" t="s">
        <v>254</v>
      </c>
      <c r="F423" s="15"/>
      <c r="G423" s="15"/>
      <c r="H423" s="15"/>
      <c r="I423" s="15"/>
      <c r="J423" s="13">
        <v>2853</v>
      </c>
      <c r="K423" s="15" t="s">
        <v>255</v>
      </c>
      <c r="L423" s="13">
        <f>SUM(B423:J424)</f>
        <v>37663</v>
      </c>
      <c r="M423" s="13"/>
    </row>
    <row r="424" spans="1:13">
      <c r="A424" s="13"/>
      <c r="B424" s="13">
        <v>7426</v>
      </c>
      <c r="C424" s="13">
        <v>21887</v>
      </c>
      <c r="D424" s="13">
        <v>1903</v>
      </c>
      <c r="E424" s="13">
        <v>3594</v>
      </c>
      <c r="F424" s="13"/>
      <c r="G424" s="13"/>
      <c r="H424" s="13"/>
      <c r="I424" s="13"/>
      <c r="J424" s="13"/>
      <c r="K424" s="13"/>
      <c r="L424" s="13"/>
      <c r="M424" s="13"/>
    </row>
    <row r="425" spans="1:13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>
      <c r="A426" s="30" t="s">
        <v>284</v>
      </c>
      <c r="B426" s="29" t="s">
        <v>193</v>
      </c>
      <c r="C426" s="29" t="s">
        <v>1251</v>
      </c>
      <c r="D426" s="29" t="s">
        <v>193</v>
      </c>
      <c r="E426" s="29" t="s">
        <v>193</v>
      </c>
      <c r="F426" s="29"/>
      <c r="G426" s="29"/>
      <c r="H426" s="29"/>
      <c r="I426" s="29"/>
      <c r="J426" s="30">
        <v>2546</v>
      </c>
      <c r="K426" s="29" t="s">
        <v>196</v>
      </c>
      <c r="L426" s="13">
        <f>SUM(B426:J427)</f>
        <v>42147</v>
      </c>
      <c r="M426" s="13"/>
    </row>
    <row r="427" spans="1:13">
      <c r="A427" s="30"/>
      <c r="B427" s="30">
        <v>17829</v>
      </c>
      <c r="C427" s="30">
        <v>17817</v>
      </c>
      <c r="D427" s="30">
        <v>2043</v>
      </c>
      <c r="E427" s="30">
        <v>1912</v>
      </c>
      <c r="F427" s="30"/>
      <c r="G427" s="30"/>
      <c r="H427" s="30"/>
      <c r="I427" s="30"/>
      <c r="J427" s="30"/>
      <c r="K427" s="30"/>
      <c r="L427" s="13"/>
      <c r="M427" s="13"/>
    </row>
    <row r="428" spans="1:13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>
      <c r="A429" s="13" t="s">
        <v>100</v>
      </c>
      <c r="B429" s="15" t="s">
        <v>1055</v>
      </c>
      <c r="C429" s="15"/>
      <c r="D429" s="15"/>
      <c r="E429" s="15"/>
      <c r="F429" s="15" t="s">
        <v>1055</v>
      </c>
      <c r="G429" s="15"/>
      <c r="H429" s="15"/>
      <c r="I429" s="15"/>
      <c r="J429" s="13">
        <v>4353</v>
      </c>
      <c r="K429" s="15" t="s">
        <v>1057</v>
      </c>
      <c r="L429" s="13">
        <f>SUM(B429:J430)</f>
        <v>26964</v>
      </c>
      <c r="M429" s="13"/>
    </row>
    <row r="430" spans="1:13">
      <c r="A430" s="13"/>
      <c r="B430" s="13">
        <v>21545</v>
      </c>
      <c r="C430" s="13"/>
      <c r="D430" s="13"/>
      <c r="E430" s="13"/>
      <c r="F430" s="13">
        <v>1066</v>
      </c>
      <c r="G430" s="13"/>
      <c r="H430" s="13"/>
      <c r="I430" s="13"/>
      <c r="J430" s="13"/>
      <c r="K430" s="13"/>
      <c r="L430" s="13"/>
      <c r="M430" s="13"/>
    </row>
    <row r="431" spans="1:13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>
      <c r="A432" s="30" t="s">
        <v>105</v>
      </c>
      <c r="B432" s="29"/>
      <c r="C432" s="29" t="s">
        <v>904</v>
      </c>
      <c r="D432" s="29" t="s">
        <v>904</v>
      </c>
      <c r="E432" s="29" t="s">
        <v>904</v>
      </c>
      <c r="F432" s="29"/>
      <c r="G432" s="29"/>
      <c r="H432" s="29"/>
      <c r="I432" s="29"/>
      <c r="J432" s="30">
        <v>11410</v>
      </c>
      <c r="K432" s="29" t="s">
        <v>905</v>
      </c>
      <c r="L432" s="13">
        <f>SUM(B432:J433)</f>
        <v>49079</v>
      </c>
      <c r="M432" s="13"/>
    </row>
    <row r="433" spans="1:13">
      <c r="A433" s="30"/>
      <c r="B433" s="30"/>
      <c r="C433" s="30">
        <v>28440</v>
      </c>
      <c r="D433" s="30">
        <v>4225</v>
      </c>
      <c r="E433" s="30">
        <v>5004</v>
      </c>
      <c r="F433" s="30"/>
      <c r="G433" s="30"/>
      <c r="H433" s="30"/>
      <c r="I433" s="30"/>
      <c r="J433" s="30"/>
      <c r="K433" s="30"/>
      <c r="L433" s="13"/>
      <c r="M433" s="13"/>
    </row>
    <row r="434" spans="1:13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>
      <c r="A435" s="13" t="s">
        <v>115</v>
      </c>
      <c r="B435" s="15" t="s">
        <v>1058</v>
      </c>
      <c r="C435" s="15" t="s">
        <v>1252</v>
      </c>
      <c r="D435" s="15" t="s">
        <v>1058</v>
      </c>
      <c r="E435" s="15" t="s">
        <v>1058</v>
      </c>
      <c r="F435" s="15" t="s">
        <v>1058</v>
      </c>
      <c r="G435" s="15"/>
      <c r="H435" s="15"/>
      <c r="I435" s="15"/>
      <c r="J435" s="13">
        <v>3514</v>
      </c>
      <c r="K435" s="15" t="s">
        <v>1060</v>
      </c>
      <c r="L435" s="13">
        <f>SUM(B435:J436)</f>
        <v>44553</v>
      </c>
      <c r="M435" s="13"/>
    </row>
    <row r="436" spans="1:13">
      <c r="A436" s="13"/>
      <c r="B436" s="13">
        <v>20839</v>
      </c>
      <c r="C436" s="13">
        <v>14107</v>
      </c>
      <c r="D436" s="13">
        <v>2236</v>
      </c>
      <c r="E436" s="13">
        <v>2326</v>
      </c>
      <c r="F436" s="13">
        <v>1531</v>
      </c>
      <c r="G436" s="13"/>
      <c r="H436" s="13"/>
      <c r="I436" s="13"/>
      <c r="J436" s="13"/>
      <c r="K436" s="13"/>
      <c r="L436" s="13"/>
      <c r="M436" s="13"/>
    </row>
    <row r="437" spans="1:13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>
      <c r="A438" s="30" t="s">
        <v>123</v>
      </c>
      <c r="B438" s="29" t="s">
        <v>1253</v>
      </c>
      <c r="C438" s="29" t="s">
        <v>1254</v>
      </c>
      <c r="D438" s="29" t="s">
        <v>1253</v>
      </c>
      <c r="E438" s="29" t="s">
        <v>1255</v>
      </c>
      <c r="F438" s="29" t="s">
        <v>1253</v>
      </c>
      <c r="G438" s="29"/>
      <c r="H438" s="29"/>
      <c r="I438" s="29" t="s">
        <v>1256</v>
      </c>
      <c r="J438" s="30">
        <v>1839</v>
      </c>
      <c r="K438" s="29" t="s">
        <v>1257</v>
      </c>
      <c r="L438" s="13">
        <f>SUM(B438:J439)</f>
        <v>32986</v>
      </c>
      <c r="M438" s="13"/>
    </row>
    <row r="439" spans="1:13">
      <c r="A439" s="30"/>
      <c r="B439" s="30">
        <v>14143</v>
      </c>
      <c r="C439" s="30">
        <v>8397</v>
      </c>
      <c r="D439" s="30">
        <v>944</v>
      </c>
      <c r="E439" s="30">
        <v>6068</v>
      </c>
      <c r="F439" s="30">
        <v>1523</v>
      </c>
      <c r="G439" s="30"/>
      <c r="H439" s="30"/>
      <c r="I439" s="30">
        <v>72</v>
      </c>
      <c r="J439" s="30"/>
      <c r="K439" s="30"/>
      <c r="L439" s="13"/>
      <c r="M439" s="13"/>
    </row>
    <row r="440" spans="1:13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>
      <c r="A441" s="13" t="s">
        <v>129</v>
      </c>
      <c r="B441" s="15" t="s">
        <v>1258</v>
      </c>
      <c r="C441" s="15"/>
      <c r="D441" s="15" t="s">
        <v>1258</v>
      </c>
      <c r="E441" s="15" t="s">
        <v>1258</v>
      </c>
      <c r="F441" s="15" t="s">
        <v>1258</v>
      </c>
      <c r="G441" s="15"/>
      <c r="H441" s="15"/>
      <c r="I441" s="15"/>
      <c r="J441" s="13">
        <v>11436</v>
      </c>
      <c r="K441" s="15" t="s">
        <v>1259</v>
      </c>
      <c r="L441" s="13">
        <f>SUM(B441:J442)</f>
        <v>46330</v>
      </c>
      <c r="M441" s="13"/>
    </row>
    <row r="442" spans="1:13">
      <c r="A442" s="13"/>
      <c r="B442" s="13">
        <v>24255</v>
      </c>
      <c r="C442" s="13"/>
      <c r="D442" s="13">
        <v>3715</v>
      </c>
      <c r="E442" s="13">
        <v>4969</v>
      </c>
      <c r="F442" s="13">
        <v>1955</v>
      </c>
      <c r="G442" s="13"/>
      <c r="H442" s="13"/>
      <c r="I442" s="13"/>
      <c r="J442" s="13"/>
      <c r="K442" s="13"/>
      <c r="L442" s="13"/>
      <c r="M442" s="13"/>
    </row>
    <row r="443" spans="1:13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>
      <c r="A444" s="30" t="s">
        <v>135</v>
      </c>
      <c r="B444" s="29" t="s">
        <v>1260</v>
      </c>
      <c r="C444" s="29" t="s">
        <v>1261</v>
      </c>
      <c r="D444" s="29" t="s">
        <v>1261</v>
      </c>
      <c r="E444" s="29" t="s">
        <v>1262</v>
      </c>
      <c r="F444" s="29" t="s">
        <v>1260</v>
      </c>
      <c r="G444" s="29"/>
      <c r="H444" s="29"/>
      <c r="I444" s="29" t="s">
        <v>1263</v>
      </c>
      <c r="J444" s="30">
        <v>3361</v>
      </c>
      <c r="K444" s="29" t="s">
        <v>1264</v>
      </c>
      <c r="L444" s="13">
        <f>SUM(B444:J445)</f>
        <v>46769</v>
      </c>
      <c r="M444" s="13"/>
    </row>
    <row r="445" spans="1:13">
      <c r="A445" s="30"/>
      <c r="B445" s="30">
        <v>15665</v>
      </c>
      <c r="C445" s="30">
        <v>20510</v>
      </c>
      <c r="D445" s="30">
        <v>2269</v>
      </c>
      <c r="E445" s="30">
        <v>2463</v>
      </c>
      <c r="F445" s="30">
        <v>2274</v>
      </c>
      <c r="G445" s="30"/>
      <c r="H445" s="30"/>
      <c r="I445" s="30">
        <v>227</v>
      </c>
      <c r="J445" s="30"/>
      <c r="K445" s="30"/>
      <c r="L445" s="13"/>
      <c r="M445" s="13"/>
    </row>
    <row r="446" spans="1:13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>
      <c r="A447" s="13" t="s">
        <v>143</v>
      </c>
      <c r="B447" s="15"/>
      <c r="C447" s="15" t="s">
        <v>1265</v>
      </c>
      <c r="D447" s="15"/>
      <c r="E447" s="15" t="s">
        <v>1265</v>
      </c>
      <c r="F447" s="15"/>
      <c r="G447" s="15"/>
      <c r="H447" s="15"/>
      <c r="I447" s="15"/>
      <c r="J447" s="13">
        <v>7950</v>
      </c>
      <c r="K447" s="15" t="s">
        <v>1266</v>
      </c>
      <c r="L447" s="13">
        <f>SUM(B447:J448)</f>
        <v>36693</v>
      </c>
      <c r="M447" s="13"/>
    </row>
    <row r="448" spans="1:13">
      <c r="A448" s="13"/>
      <c r="B448" s="13"/>
      <c r="C448" s="13">
        <v>24578</v>
      </c>
      <c r="D448" s="13"/>
      <c r="E448" s="13">
        <v>4165</v>
      </c>
      <c r="F448" s="13"/>
      <c r="G448" s="13"/>
      <c r="H448" s="13"/>
      <c r="I448" s="13"/>
      <c r="J448" s="13"/>
      <c r="K448" s="13"/>
      <c r="L448" s="13"/>
      <c r="M448" s="13"/>
    </row>
    <row r="449" spans="1:13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>
      <c r="A450" s="30" t="s">
        <v>149</v>
      </c>
      <c r="B450" s="29" t="s">
        <v>1267</v>
      </c>
      <c r="C450" s="29" t="s">
        <v>545</v>
      </c>
      <c r="D450" s="29" t="s">
        <v>545</v>
      </c>
      <c r="E450" s="29" t="s">
        <v>545</v>
      </c>
      <c r="F450" s="29"/>
      <c r="G450" s="29"/>
      <c r="H450" s="29"/>
      <c r="I450" s="29"/>
      <c r="J450" s="30">
        <v>3571</v>
      </c>
      <c r="K450" s="29" t="s">
        <v>1268</v>
      </c>
      <c r="L450" s="13">
        <f>SUM(B450:J451)</f>
        <v>46721</v>
      </c>
      <c r="M450" s="13"/>
    </row>
    <row r="451" spans="1:13">
      <c r="A451" s="30"/>
      <c r="B451" s="30">
        <v>13886</v>
      </c>
      <c r="C451" s="30">
        <v>23954</v>
      </c>
      <c r="D451" s="30">
        <v>2196</v>
      </c>
      <c r="E451" s="30">
        <v>3114</v>
      </c>
      <c r="F451" s="30"/>
      <c r="G451" s="30"/>
      <c r="H451" s="30"/>
      <c r="I451" s="30"/>
      <c r="J451" s="30"/>
      <c r="K451" s="30"/>
      <c r="L451" s="13"/>
      <c r="M451" s="13"/>
    </row>
    <row r="452" spans="1:13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>
      <c r="A453" s="13" t="s">
        <v>155</v>
      </c>
      <c r="B453" s="15" t="s">
        <v>1269</v>
      </c>
      <c r="C453" s="15" t="s">
        <v>258</v>
      </c>
      <c r="D453" s="15" t="s">
        <v>258</v>
      </c>
      <c r="E453" s="15" t="s">
        <v>258</v>
      </c>
      <c r="F453" s="15"/>
      <c r="G453" s="15"/>
      <c r="H453" s="15"/>
      <c r="I453" s="15"/>
      <c r="J453" s="13">
        <v>2975</v>
      </c>
      <c r="K453" s="15" t="s">
        <v>259</v>
      </c>
      <c r="L453" s="13">
        <f>SUM(B453:J454)</f>
        <v>35138</v>
      </c>
      <c r="M453" s="13"/>
    </row>
    <row r="454" spans="1:13">
      <c r="A454" s="13"/>
      <c r="B454" s="13">
        <v>8247</v>
      </c>
      <c r="C454" s="13">
        <v>20174</v>
      </c>
      <c r="D454" s="13">
        <v>1419</v>
      </c>
      <c r="E454" s="13">
        <v>2323</v>
      </c>
      <c r="F454" s="13"/>
      <c r="G454" s="13"/>
      <c r="H454" s="13"/>
      <c r="I454" s="13"/>
      <c r="J454" s="13"/>
      <c r="K454" s="13"/>
      <c r="L454" s="13"/>
      <c r="M454" s="13"/>
    </row>
    <row r="455" spans="1:13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>
      <c r="A456" s="30" t="s">
        <v>162</v>
      </c>
      <c r="B456" s="29" t="s">
        <v>1270</v>
      </c>
      <c r="C456" s="29" t="s">
        <v>327</v>
      </c>
      <c r="D456" s="29"/>
      <c r="E456" s="29" t="s">
        <v>327</v>
      </c>
      <c r="F456" s="30"/>
      <c r="G456" s="30"/>
      <c r="H456" s="30"/>
      <c r="I456" s="29" t="s">
        <v>1271</v>
      </c>
      <c r="J456" s="30">
        <v>1677</v>
      </c>
      <c r="K456" s="29" t="s">
        <v>328</v>
      </c>
      <c r="L456" s="13">
        <f>SUM(B456:J457)</f>
        <v>35959</v>
      </c>
      <c r="M456" s="13"/>
    </row>
    <row r="457" spans="1:13">
      <c r="A457" s="30"/>
      <c r="B457" s="30">
        <v>15193</v>
      </c>
      <c r="C457" s="30">
        <v>16498</v>
      </c>
      <c r="D457" s="30"/>
      <c r="E457" s="30">
        <v>2375</v>
      </c>
      <c r="F457" s="30"/>
      <c r="G457" s="30"/>
      <c r="H457" s="30"/>
      <c r="I457" s="30">
        <v>216</v>
      </c>
      <c r="J457" s="30"/>
      <c r="K457" s="30"/>
      <c r="L457" s="13"/>
      <c r="M457" s="13"/>
    </row>
    <row r="458" spans="1:13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3"/>
      <c r="M458" s="13"/>
    </row>
    <row r="459" spans="1:13">
      <c r="A459" s="19" t="s">
        <v>171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>
      <c r="A460" s="20" t="s">
        <v>1272</v>
      </c>
      <c r="B460" s="21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>
      <c r="A461" s="20" t="s">
        <v>1273</v>
      </c>
      <c r="B461" s="21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>
      <c r="A462" s="20" t="s">
        <v>1274</v>
      </c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>
      <c r="A463" s="20" t="s">
        <v>1275</v>
      </c>
      <c r="B463" s="21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>
      <c r="A464" s="20" t="s">
        <v>1276</v>
      </c>
      <c r="B464" s="21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>
      <c r="A465" s="20" t="s">
        <v>1277</v>
      </c>
      <c r="B465" s="21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>
      <c r="A466" s="20" t="s">
        <v>1278</v>
      </c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>
      <c r="A467" s="20" t="s">
        <v>1279</v>
      </c>
      <c r="B467" s="21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>
      <c r="A468" s="20" t="s">
        <v>1069</v>
      </c>
      <c r="B468" s="21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>
      <c r="A469" s="21" t="s">
        <v>1280</v>
      </c>
      <c r="B469" s="21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>
      <c r="A470" s="21" t="s">
        <v>329</v>
      </c>
      <c r="B470" s="21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>
      <c r="A471" s="21" t="s">
        <v>1281</v>
      </c>
      <c r="B471" s="21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>
      <c r="A473" s="56" t="s">
        <v>1072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</sheetData>
  <hyperlinks>
    <hyperlink ref="A473" r:id="rId1"/>
  </hyperlinks>
  <pageMargins left="0.7" right="0.7" top="0.75" bottom="0.75" header="0.3" footer="0.3"/>
  <pageSetup scale="54" fitToHeight="16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9"/>
  <sheetViews>
    <sheetView workbookViewId="0"/>
  </sheetViews>
  <sheetFormatPr defaultColWidth="15.77734375" defaultRowHeight="15.75"/>
  <cols>
    <col min="1" max="1" width="25.77734375" customWidth="1"/>
    <col min="9" max="9" width="26.77734375" customWidth="1"/>
  </cols>
  <sheetData>
    <row r="1" spans="1:12" ht="20.25">
      <c r="A1" s="22" t="s">
        <v>0</v>
      </c>
      <c r="B1" s="8"/>
      <c r="C1" s="8"/>
      <c r="D1" s="8"/>
      <c r="E1" s="8"/>
      <c r="F1" s="8"/>
      <c r="G1" s="7"/>
      <c r="H1" s="5"/>
      <c r="I1" s="5"/>
      <c r="J1" s="5"/>
      <c r="K1" s="5"/>
      <c r="L1" s="5"/>
    </row>
    <row r="2" spans="1:12" ht="20.25">
      <c r="A2" s="22" t="s">
        <v>1319</v>
      </c>
      <c r="B2" s="8"/>
      <c r="C2" s="8"/>
      <c r="D2" s="5"/>
      <c r="E2" s="5"/>
      <c r="F2" s="5"/>
      <c r="G2" s="6"/>
      <c r="H2" s="5"/>
      <c r="I2" s="5"/>
      <c r="J2" s="5"/>
      <c r="K2" s="5"/>
      <c r="L2" s="5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5" t="s">
        <v>1452</v>
      </c>
      <c r="H4" s="27" t="s">
        <v>582</v>
      </c>
      <c r="I4" s="25" t="s">
        <v>2</v>
      </c>
      <c r="J4" s="5"/>
      <c r="K4" s="5"/>
      <c r="L4" s="5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11" t="s">
        <v>3</v>
      </c>
      <c r="B6" s="12" t="s">
        <v>1082</v>
      </c>
      <c r="C6" s="12" t="s">
        <v>1284</v>
      </c>
      <c r="D6" s="12" t="s">
        <v>1082</v>
      </c>
      <c r="E6" s="12" t="s">
        <v>1284</v>
      </c>
      <c r="F6" s="12" t="s">
        <v>1082</v>
      </c>
      <c r="G6" s="12"/>
      <c r="H6" s="13">
        <v>12779</v>
      </c>
      <c r="I6" s="12" t="s">
        <v>1285</v>
      </c>
      <c r="J6" s="5">
        <f>SUM(B6:H7)</f>
        <v>73554</v>
      </c>
      <c r="K6" s="5"/>
      <c r="L6" s="5"/>
    </row>
    <row r="7" spans="1:12">
      <c r="A7" s="5"/>
      <c r="B7" s="13">
        <v>31270</v>
      </c>
      <c r="C7" s="13">
        <v>20899</v>
      </c>
      <c r="D7" s="13">
        <v>3777</v>
      </c>
      <c r="E7" s="13">
        <v>3196</v>
      </c>
      <c r="F7" s="13">
        <v>1633</v>
      </c>
      <c r="G7" s="13"/>
      <c r="H7" s="13"/>
      <c r="I7" s="14"/>
      <c r="J7" s="5"/>
      <c r="K7" s="5"/>
      <c r="L7" s="5"/>
    </row>
    <row r="8" spans="1:12">
      <c r="A8" s="5"/>
      <c r="B8" s="13"/>
      <c r="C8" s="13"/>
      <c r="D8" s="13"/>
      <c r="E8" s="13"/>
      <c r="F8" s="13"/>
      <c r="G8" s="13"/>
      <c r="H8" s="13"/>
      <c r="I8" s="13"/>
      <c r="J8" s="5"/>
      <c r="K8" s="5"/>
      <c r="L8" s="5"/>
    </row>
    <row r="9" spans="1:12">
      <c r="A9" s="28" t="s">
        <v>10</v>
      </c>
      <c r="B9" s="29" t="s">
        <v>1286</v>
      </c>
      <c r="C9" s="29" t="s">
        <v>1085</v>
      </c>
      <c r="D9" s="29" t="s">
        <v>1085</v>
      </c>
      <c r="E9" s="29" t="s">
        <v>216</v>
      </c>
      <c r="F9" s="29" t="s">
        <v>216</v>
      </c>
      <c r="G9" s="29"/>
      <c r="H9" s="30">
        <v>13279</v>
      </c>
      <c r="I9" s="29" t="s">
        <v>11</v>
      </c>
      <c r="J9" s="5">
        <f>SUM(B9:H10)</f>
        <v>65448</v>
      </c>
      <c r="K9" s="5"/>
      <c r="L9" s="5"/>
    </row>
    <row r="10" spans="1:12">
      <c r="A10" s="31"/>
      <c r="B10" s="30">
        <v>19793</v>
      </c>
      <c r="C10" s="30">
        <v>24987</v>
      </c>
      <c r="D10" s="30">
        <v>3034</v>
      </c>
      <c r="E10" s="30">
        <v>2576</v>
      </c>
      <c r="F10" s="30">
        <v>1779</v>
      </c>
      <c r="G10" s="30"/>
      <c r="H10" s="30"/>
      <c r="I10" s="30"/>
      <c r="J10" s="5"/>
      <c r="K10" s="5"/>
      <c r="L10" s="5"/>
    </row>
    <row r="11" spans="1:12">
      <c r="A11" s="5"/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</row>
    <row r="12" spans="1:12">
      <c r="A12" s="11" t="s">
        <v>16</v>
      </c>
      <c r="B12" s="12" t="s">
        <v>1287</v>
      </c>
      <c r="C12" s="12" t="s">
        <v>1288</v>
      </c>
      <c r="D12" s="12" t="s">
        <v>1287</v>
      </c>
      <c r="E12" s="12" t="s">
        <v>1288</v>
      </c>
      <c r="F12" s="12" t="s">
        <v>1287</v>
      </c>
      <c r="G12" s="12"/>
      <c r="H12" s="13">
        <v>10146</v>
      </c>
      <c r="I12" s="12" t="s">
        <v>1289</v>
      </c>
      <c r="J12" s="5">
        <f>SUM(B12:H13)</f>
        <v>56992</v>
      </c>
      <c r="K12" s="5"/>
      <c r="L12" s="5"/>
    </row>
    <row r="13" spans="1:12">
      <c r="A13" s="5"/>
      <c r="B13" s="13">
        <v>26208</v>
      </c>
      <c r="C13" s="13">
        <v>14265</v>
      </c>
      <c r="D13" s="13">
        <v>2351</v>
      </c>
      <c r="E13" s="13">
        <v>2247</v>
      </c>
      <c r="F13" s="13">
        <v>1775</v>
      </c>
      <c r="G13" s="13"/>
      <c r="H13" s="13"/>
      <c r="I13" s="14"/>
      <c r="J13" s="5"/>
      <c r="K13" s="5"/>
      <c r="L13" s="5"/>
    </row>
    <row r="14" spans="1:12">
      <c r="A14" s="5"/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</row>
    <row r="15" spans="1:12">
      <c r="A15" s="28" t="s">
        <v>26</v>
      </c>
      <c r="B15" s="32" t="s">
        <v>187</v>
      </c>
      <c r="C15" s="32" t="s">
        <v>1290</v>
      </c>
      <c r="D15" s="32" t="s">
        <v>198</v>
      </c>
      <c r="E15" s="32" t="s">
        <v>1290</v>
      </c>
      <c r="F15" s="32" t="s">
        <v>198</v>
      </c>
      <c r="G15" s="32"/>
      <c r="H15" s="30">
        <v>10870</v>
      </c>
      <c r="I15" s="32" t="s">
        <v>27</v>
      </c>
      <c r="J15" s="5">
        <f>SUM(B15:H16)</f>
        <v>63791</v>
      </c>
      <c r="K15" s="5"/>
      <c r="L15" s="5"/>
    </row>
    <row r="16" spans="1:12">
      <c r="A16" s="31"/>
      <c r="B16" s="30">
        <v>30487</v>
      </c>
      <c r="C16" s="30">
        <v>15644</v>
      </c>
      <c r="D16" s="30">
        <v>3009</v>
      </c>
      <c r="E16" s="32">
        <v>2302</v>
      </c>
      <c r="F16" s="32">
        <v>1479</v>
      </c>
      <c r="G16" s="30"/>
      <c r="H16" s="30"/>
      <c r="I16" s="33"/>
      <c r="J16" s="5"/>
      <c r="K16" s="5"/>
      <c r="L16" s="5"/>
    </row>
    <row r="17" spans="1:12">
      <c r="A17" s="5"/>
      <c r="B17" s="13"/>
      <c r="C17" s="13"/>
      <c r="D17" s="13"/>
      <c r="E17" s="13"/>
      <c r="F17" s="13"/>
      <c r="G17" s="13"/>
      <c r="H17" s="13"/>
      <c r="I17" s="13"/>
      <c r="J17" s="5"/>
      <c r="K17" s="5"/>
      <c r="L17" s="5"/>
    </row>
    <row r="18" spans="1:12">
      <c r="A18" s="11" t="s">
        <v>40</v>
      </c>
      <c r="B18" s="12" t="s">
        <v>1089</v>
      </c>
      <c r="C18" s="12" t="s">
        <v>1291</v>
      </c>
      <c r="D18" s="12" t="s">
        <v>1089</v>
      </c>
      <c r="E18" s="12"/>
      <c r="F18" s="12"/>
      <c r="G18" s="12"/>
      <c r="H18" s="13">
        <v>15602</v>
      </c>
      <c r="I18" s="12" t="s">
        <v>1292</v>
      </c>
      <c r="J18" s="5">
        <f>SUM(B18:H19)</f>
        <v>63127</v>
      </c>
      <c r="K18" s="5"/>
      <c r="L18" s="5"/>
    </row>
    <row r="19" spans="1:12">
      <c r="A19" s="5"/>
      <c r="B19" s="13">
        <v>26564</v>
      </c>
      <c r="C19" s="13">
        <v>17334</v>
      </c>
      <c r="D19" s="13">
        <v>3627</v>
      </c>
      <c r="E19" s="13"/>
      <c r="F19" s="13"/>
      <c r="G19" s="13"/>
      <c r="H19" s="13"/>
      <c r="I19" s="14"/>
      <c r="J19" s="5"/>
      <c r="K19" s="5"/>
      <c r="L19" s="5"/>
    </row>
    <row r="20" spans="1:12">
      <c r="A20" s="5"/>
      <c r="B20" s="13"/>
      <c r="C20" s="13"/>
      <c r="D20" s="13"/>
      <c r="E20" s="13"/>
      <c r="F20" s="13"/>
      <c r="G20" s="13"/>
      <c r="H20" s="13"/>
      <c r="I20" s="13"/>
      <c r="J20" s="5"/>
      <c r="K20" s="5"/>
      <c r="L20" s="5"/>
    </row>
    <row r="21" spans="1:12">
      <c r="A21" s="28" t="s">
        <v>52</v>
      </c>
      <c r="B21" s="32" t="s">
        <v>217</v>
      </c>
      <c r="C21" s="32"/>
      <c r="D21" s="32" t="s">
        <v>217</v>
      </c>
      <c r="E21" s="32" t="s">
        <v>843</v>
      </c>
      <c r="F21" s="32" t="s">
        <v>217</v>
      </c>
      <c r="G21" s="29"/>
      <c r="H21" s="30">
        <v>13369</v>
      </c>
      <c r="I21" s="32" t="s">
        <v>218</v>
      </c>
      <c r="J21" s="5">
        <f>SUM(B21:H22)</f>
        <v>38723</v>
      </c>
      <c r="K21" s="5"/>
      <c r="L21" s="5"/>
    </row>
    <row r="22" spans="1:12">
      <c r="A22" s="31"/>
      <c r="B22" s="30">
        <v>21267</v>
      </c>
      <c r="C22" s="30"/>
      <c r="D22" s="30">
        <v>1141</v>
      </c>
      <c r="E22" s="30">
        <v>1968</v>
      </c>
      <c r="F22" s="30">
        <v>978</v>
      </c>
      <c r="G22" s="30"/>
      <c r="H22" s="30"/>
      <c r="I22" s="33"/>
      <c r="J22" s="5"/>
      <c r="K22" s="5"/>
      <c r="L22" s="5"/>
    </row>
    <row r="23" spans="1:12">
      <c r="A23" s="5"/>
      <c r="B23" s="37"/>
      <c r="C23" s="37"/>
      <c r="D23" s="37"/>
      <c r="E23" s="37"/>
      <c r="F23" s="37"/>
      <c r="G23" s="13"/>
      <c r="H23" s="13"/>
      <c r="I23" s="13"/>
      <c r="J23" s="5"/>
      <c r="K23" s="5"/>
      <c r="L23" s="5"/>
    </row>
    <row r="24" spans="1:12">
      <c r="A24" s="11" t="s">
        <v>59</v>
      </c>
      <c r="B24" s="12" t="s">
        <v>1293</v>
      </c>
      <c r="C24" s="12" t="s">
        <v>219</v>
      </c>
      <c r="D24" s="12" t="s">
        <v>219</v>
      </c>
      <c r="E24" s="12" t="s">
        <v>219</v>
      </c>
      <c r="F24" s="12"/>
      <c r="G24" s="12"/>
      <c r="H24" s="13">
        <v>14493</v>
      </c>
      <c r="I24" s="12" t="s">
        <v>220</v>
      </c>
      <c r="J24" s="5">
        <f>SUM(B24:H25)</f>
        <v>69864</v>
      </c>
      <c r="K24" s="5"/>
      <c r="L24" s="5"/>
    </row>
    <row r="25" spans="1:12">
      <c r="A25" s="5"/>
      <c r="B25" s="13">
        <v>18520</v>
      </c>
      <c r="C25" s="13">
        <v>30518</v>
      </c>
      <c r="D25" s="13">
        <v>2559</v>
      </c>
      <c r="E25" s="13">
        <v>3774</v>
      </c>
      <c r="F25" s="13"/>
      <c r="G25" s="13"/>
      <c r="H25" s="13"/>
      <c r="I25" s="14"/>
      <c r="J25" s="5"/>
      <c r="K25" s="5"/>
      <c r="L25" s="5"/>
    </row>
    <row r="26" spans="1:12">
      <c r="A26" s="5"/>
      <c r="B26" s="13"/>
      <c r="C26" s="13"/>
      <c r="D26" s="13"/>
      <c r="E26" s="13"/>
      <c r="F26" s="13"/>
      <c r="G26" s="13"/>
      <c r="H26" s="13"/>
      <c r="I26" s="13"/>
      <c r="J26" s="5"/>
      <c r="K26" s="5"/>
      <c r="L26" s="5"/>
    </row>
    <row r="27" spans="1:12">
      <c r="A27" s="28" t="s">
        <v>64</v>
      </c>
      <c r="B27" s="32" t="s">
        <v>1294</v>
      </c>
      <c r="C27" s="32" t="s">
        <v>1092</v>
      </c>
      <c r="D27" s="32" t="s">
        <v>1092</v>
      </c>
      <c r="E27" s="32" t="s">
        <v>1092</v>
      </c>
      <c r="F27" s="32" t="s">
        <v>1294</v>
      </c>
      <c r="G27" s="32"/>
      <c r="H27" s="30">
        <v>13417</v>
      </c>
      <c r="I27" s="32" t="s">
        <v>1295</v>
      </c>
      <c r="J27" s="5">
        <f>SUM(B27:H28)</f>
        <v>62064</v>
      </c>
      <c r="K27" s="5"/>
      <c r="L27" s="5"/>
    </row>
    <row r="28" spans="1:12">
      <c r="A28" s="31"/>
      <c r="B28" s="30">
        <v>18020</v>
      </c>
      <c r="C28" s="30">
        <v>24337</v>
      </c>
      <c r="D28" s="30">
        <v>2081</v>
      </c>
      <c r="E28" s="30">
        <v>3031</v>
      </c>
      <c r="F28" s="30">
        <v>1178</v>
      </c>
      <c r="G28" s="30"/>
      <c r="H28" s="30"/>
      <c r="I28" s="33"/>
      <c r="J28" s="5"/>
      <c r="K28" s="5"/>
      <c r="L28" s="5"/>
    </row>
    <row r="29" spans="1:12">
      <c r="A29" s="5"/>
      <c r="B29" s="13"/>
      <c r="C29" s="13"/>
      <c r="D29" s="13"/>
      <c r="E29" s="13"/>
      <c r="F29" s="13"/>
      <c r="G29" s="13"/>
      <c r="H29" s="13"/>
      <c r="I29" s="13"/>
      <c r="J29" s="5"/>
      <c r="K29" s="5"/>
      <c r="L29" s="5"/>
    </row>
    <row r="30" spans="1:12">
      <c r="A30" s="11" t="s">
        <v>73</v>
      </c>
      <c r="B30" s="12" t="s">
        <v>1296</v>
      </c>
      <c r="C30" s="12" t="s">
        <v>238</v>
      </c>
      <c r="D30" s="12" t="s">
        <v>238</v>
      </c>
      <c r="E30" s="12" t="s">
        <v>238</v>
      </c>
      <c r="F30" s="12" t="s">
        <v>1437</v>
      </c>
      <c r="G30" s="12"/>
      <c r="H30" s="13">
        <v>11485</v>
      </c>
      <c r="I30" s="12" t="s">
        <v>239</v>
      </c>
      <c r="J30" s="5">
        <f>SUM(B30:H31)</f>
        <v>66617</v>
      </c>
      <c r="K30" s="5"/>
      <c r="L30" s="5"/>
    </row>
    <row r="31" spans="1:12">
      <c r="A31" s="5"/>
      <c r="B31" s="13">
        <v>20225</v>
      </c>
      <c r="C31" s="13">
        <v>27781</v>
      </c>
      <c r="D31" s="13">
        <v>2931</v>
      </c>
      <c r="E31" s="13">
        <v>3193</v>
      </c>
      <c r="F31" s="13">
        <v>1002</v>
      </c>
      <c r="G31" s="13"/>
      <c r="H31" s="13"/>
      <c r="I31" s="14"/>
      <c r="J31" s="5"/>
      <c r="K31" s="5"/>
      <c r="L31" s="5"/>
    </row>
    <row r="32" spans="1:12">
      <c r="A32" s="5"/>
      <c r="B32" s="13"/>
      <c r="C32" s="13"/>
      <c r="D32" s="13"/>
      <c r="E32" s="13"/>
      <c r="F32" s="13"/>
      <c r="G32" s="13"/>
      <c r="H32" s="13"/>
      <c r="I32" s="13"/>
      <c r="J32" s="5"/>
      <c r="K32" s="5"/>
      <c r="L32" s="5"/>
    </row>
    <row r="33" spans="1:12">
      <c r="A33" s="28" t="s">
        <v>80</v>
      </c>
      <c r="B33" s="32" t="s">
        <v>1297</v>
      </c>
      <c r="C33" s="32" t="s">
        <v>1096</v>
      </c>
      <c r="D33" s="32" t="s">
        <v>1096</v>
      </c>
      <c r="E33" s="32" t="s">
        <v>1097</v>
      </c>
      <c r="F33" s="32" t="s">
        <v>1097</v>
      </c>
      <c r="G33" s="32"/>
      <c r="H33" s="30">
        <v>11303</v>
      </c>
      <c r="I33" s="32" t="s">
        <v>1098</v>
      </c>
      <c r="J33" s="5">
        <f>SUM(B33:H34)</f>
        <v>64821</v>
      </c>
      <c r="K33" s="5"/>
      <c r="L33" s="5"/>
    </row>
    <row r="34" spans="1:12">
      <c r="A34" s="31"/>
      <c r="B34" s="30">
        <v>22531</v>
      </c>
      <c r="C34" s="30">
        <v>25431</v>
      </c>
      <c r="D34" s="30">
        <v>2199</v>
      </c>
      <c r="E34" s="30">
        <v>2355</v>
      </c>
      <c r="F34" s="30">
        <v>1002</v>
      </c>
      <c r="G34" s="30"/>
      <c r="H34" s="30"/>
      <c r="I34" s="33"/>
      <c r="J34" s="5"/>
      <c r="K34" s="5"/>
      <c r="L34" s="5"/>
    </row>
    <row r="35" spans="1:12">
      <c r="A35" s="5"/>
      <c r="B35" s="13"/>
      <c r="C35" s="13"/>
      <c r="D35" s="13"/>
      <c r="E35" s="13"/>
      <c r="F35" s="13"/>
      <c r="G35" s="13"/>
      <c r="H35" s="13"/>
      <c r="I35" s="13"/>
      <c r="J35" s="5"/>
      <c r="K35" s="5"/>
      <c r="L35" s="5"/>
    </row>
    <row r="36" spans="1:12">
      <c r="A36" s="5"/>
      <c r="B36" s="13"/>
      <c r="C36" s="13"/>
      <c r="D36" s="13"/>
      <c r="E36" s="13"/>
      <c r="F36" s="13"/>
      <c r="G36" s="13"/>
      <c r="H36" s="13"/>
      <c r="I36" s="13"/>
      <c r="J36" s="5"/>
      <c r="K36" s="5"/>
      <c r="L36" s="5"/>
    </row>
    <row r="37" spans="1:12">
      <c r="A37" s="11" t="s">
        <v>83</v>
      </c>
      <c r="B37" s="12" t="s">
        <v>939</v>
      </c>
      <c r="C37" s="12" t="s">
        <v>1298</v>
      </c>
      <c r="D37" s="12" t="s">
        <v>941</v>
      </c>
      <c r="E37" s="10" t="s">
        <v>1298</v>
      </c>
      <c r="F37" s="10" t="s">
        <v>941</v>
      </c>
      <c r="G37" s="12"/>
      <c r="H37" s="13">
        <v>10837</v>
      </c>
      <c r="I37" s="12" t="s">
        <v>942</v>
      </c>
      <c r="J37" s="5">
        <f>SUM(B37:H38)</f>
        <v>50610</v>
      </c>
      <c r="K37" s="5"/>
      <c r="L37" s="5"/>
    </row>
    <row r="38" spans="1:12">
      <c r="A38" s="5"/>
      <c r="B38" s="13">
        <v>25359</v>
      </c>
      <c r="C38" s="13">
        <v>10122</v>
      </c>
      <c r="D38" s="13">
        <v>1945</v>
      </c>
      <c r="E38" s="5">
        <v>1293</v>
      </c>
      <c r="F38" s="5">
        <v>1054</v>
      </c>
      <c r="G38" s="13"/>
      <c r="H38" s="13"/>
      <c r="I38" s="14"/>
      <c r="J38" s="5"/>
      <c r="K38" s="5"/>
      <c r="L38" s="5"/>
    </row>
    <row r="39" spans="1:12">
      <c r="A39" s="5"/>
      <c r="B39" s="13"/>
      <c r="C39" s="13"/>
      <c r="D39" s="13"/>
      <c r="E39" s="13"/>
      <c r="F39" s="13"/>
      <c r="G39" s="13"/>
      <c r="H39" s="13"/>
      <c r="I39" s="13"/>
      <c r="J39" s="5"/>
      <c r="K39" s="5"/>
      <c r="L39" s="5"/>
    </row>
    <row r="40" spans="1:12">
      <c r="A40" s="28" t="s">
        <v>91</v>
      </c>
      <c r="B40" s="32" t="s">
        <v>1299</v>
      </c>
      <c r="C40" s="32" t="s">
        <v>243</v>
      </c>
      <c r="D40" s="32" t="s">
        <v>243</v>
      </c>
      <c r="E40" s="32" t="s">
        <v>243</v>
      </c>
      <c r="F40" s="32" t="s">
        <v>243</v>
      </c>
      <c r="G40" s="32"/>
      <c r="H40" s="30">
        <v>9341</v>
      </c>
      <c r="I40" s="32" t="s">
        <v>401</v>
      </c>
      <c r="J40" s="5">
        <f>SUM(B40:H41)</f>
        <v>66448</v>
      </c>
      <c r="K40" s="5"/>
      <c r="L40" s="5"/>
    </row>
    <row r="41" spans="1:12">
      <c r="A41" s="31"/>
      <c r="B41" s="30">
        <v>18307</v>
      </c>
      <c r="C41" s="30">
        <v>33063</v>
      </c>
      <c r="D41" s="30">
        <v>1817</v>
      </c>
      <c r="E41" s="30">
        <v>2916</v>
      </c>
      <c r="F41" s="30">
        <v>1004</v>
      </c>
      <c r="G41" s="30"/>
      <c r="H41" s="30"/>
      <c r="I41" s="33"/>
      <c r="J41" s="5"/>
      <c r="K41" s="5"/>
      <c r="L41" s="5"/>
    </row>
    <row r="42" spans="1:12">
      <c r="A42" s="5"/>
      <c r="B42" s="13"/>
      <c r="C42" s="13"/>
      <c r="D42" s="13"/>
      <c r="E42" s="13"/>
      <c r="F42" s="13"/>
      <c r="G42" s="13"/>
      <c r="H42" s="13"/>
      <c r="I42" s="13"/>
      <c r="J42" s="5"/>
      <c r="K42" s="5"/>
      <c r="L42" s="5"/>
    </row>
    <row r="43" spans="1:12">
      <c r="A43" s="11" t="s">
        <v>94</v>
      </c>
      <c r="B43" s="12" t="s">
        <v>244</v>
      </c>
      <c r="C43" s="12" t="s">
        <v>1300</v>
      </c>
      <c r="D43" s="12" t="s">
        <v>244</v>
      </c>
      <c r="E43" s="12" t="s">
        <v>1300</v>
      </c>
      <c r="F43" s="12" t="s">
        <v>244</v>
      </c>
      <c r="G43" s="15"/>
      <c r="H43" s="13">
        <v>10450</v>
      </c>
      <c r="I43" s="12" t="s">
        <v>245</v>
      </c>
      <c r="J43" s="5">
        <f>SUM(B43:H44)</f>
        <v>65528</v>
      </c>
      <c r="K43" s="5"/>
      <c r="L43" s="5"/>
    </row>
    <row r="44" spans="1:12">
      <c r="A44" s="5"/>
      <c r="B44" s="13">
        <v>33869</v>
      </c>
      <c r="C44" s="13">
        <v>17755</v>
      </c>
      <c r="D44" s="13">
        <v>1395</v>
      </c>
      <c r="E44" s="13">
        <v>1363</v>
      </c>
      <c r="F44" s="13">
        <v>696</v>
      </c>
      <c r="G44" s="13"/>
      <c r="H44" s="13"/>
      <c r="I44" s="14"/>
      <c r="J44" s="5"/>
      <c r="K44" s="5"/>
      <c r="L44" s="5"/>
    </row>
    <row r="45" spans="1:12">
      <c r="A45" s="5"/>
      <c r="B45" s="13"/>
      <c r="C45" s="13"/>
      <c r="D45" s="13"/>
      <c r="E45" s="13"/>
      <c r="F45" s="13"/>
      <c r="G45" s="13"/>
      <c r="H45" s="13"/>
      <c r="I45" s="13"/>
      <c r="J45" s="5"/>
      <c r="K45" s="5"/>
      <c r="L45" s="5"/>
    </row>
    <row r="46" spans="1:12">
      <c r="A46" s="28" t="s">
        <v>104</v>
      </c>
      <c r="B46" s="32" t="s">
        <v>1301</v>
      </c>
      <c r="C46" s="32" t="s">
        <v>1302</v>
      </c>
      <c r="D46" s="32" t="s">
        <v>1302</v>
      </c>
      <c r="E46" s="32" t="s">
        <v>1302</v>
      </c>
      <c r="F46" s="32" t="s">
        <v>1302</v>
      </c>
      <c r="G46" s="29"/>
      <c r="H46" s="30">
        <v>10507</v>
      </c>
      <c r="I46" s="32" t="s">
        <v>1303</v>
      </c>
      <c r="J46" s="5">
        <f>SUM(B46:H47)</f>
        <v>64852</v>
      </c>
      <c r="K46" s="5"/>
      <c r="L46" s="5"/>
    </row>
    <row r="47" spans="1:12">
      <c r="A47" s="31"/>
      <c r="B47" s="30">
        <v>23178</v>
      </c>
      <c r="C47" s="30">
        <v>26577</v>
      </c>
      <c r="D47" s="30">
        <v>1614</v>
      </c>
      <c r="E47" s="30">
        <v>2110</v>
      </c>
      <c r="F47" s="30">
        <v>866</v>
      </c>
      <c r="G47" s="29"/>
      <c r="H47" s="30"/>
      <c r="I47" s="33"/>
      <c r="J47" s="5"/>
      <c r="K47" s="5"/>
      <c r="L47" s="5"/>
    </row>
    <row r="48" spans="1:12">
      <c r="A48" s="5"/>
      <c r="B48" s="13"/>
      <c r="C48" s="13"/>
      <c r="D48" s="13"/>
      <c r="E48" s="13"/>
      <c r="F48" s="13"/>
      <c r="G48" s="13"/>
      <c r="H48" s="13"/>
      <c r="I48" s="13"/>
      <c r="J48" s="5"/>
      <c r="K48" s="5"/>
      <c r="L48" s="5"/>
    </row>
    <row r="49" spans="1:12">
      <c r="A49" s="11" t="s">
        <v>110</v>
      </c>
      <c r="B49" s="12" t="s">
        <v>1304</v>
      </c>
      <c r="C49" s="12" t="s">
        <v>414</v>
      </c>
      <c r="D49" s="12" t="s">
        <v>414</v>
      </c>
      <c r="E49" s="12" t="s">
        <v>414</v>
      </c>
      <c r="F49" s="12" t="s">
        <v>414</v>
      </c>
      <c r="G49" s="15"/>
      <c r="H49" s="13">
        <v>9600</v>
      </c>
      <c r="I49" s="12" t="s">
        <v>1305</v>
      </c>
      <c r="J49" s="5">
        <f>SUM(B49:H50)</f>
        <v>60400</v>
      </c>
      <c r="K49" s="5"/>
      <c r="L49" s="5"/>
    </row>
    <row r="50" spans="1:12">
      <c r="A50" s="5"/>
      <c r="B50" s="13">
        <v>20272</v>
      </c>
      <c r="C50" s="13">
        <v>25986</v>
      </c>
      <c r="D50" s="13">
        <v>1655</v>
      </c>
      <c r="E50" s="13">
        <v>2056</v>
      </c>
      <c r="F50" s="13">
        <v>831</v>
      </c>
      <c r="G50" s="13"/>
      <c r="H50" s="13"/>
      <c r="I50" s="14"/>
      <c r="J50" s="5"/>
      <c r="K50" s="5"/>
      <c r="L50" s="5"/>
    </row>
    <row r="51" spans="1:12">
      <c r="A51" s="5"/>
      <c r="B51" s="15"/>
      <c r="C51" s="15"/>
      <c r="D51" s="15"/>
      <c r="E51" s="15"/>
      <c r="F51" s="15"/>
      <c r="G51" s="15"/>
      <c r="H51" s="13"/>
      <c r="I51" s="13"/>
      <c r="J51" s="5"/>
      <c r="K51" s="5"/>
      <c r="L51" s="5"/>
    </row>
    <row r="52" spans="1:12">
      <c r="A52" s="28" t="s">
        <v>114</v>
      </c>
      <c r="B52" s="32" t="s">
        <v>777</v>
      </c>
      <c r="C52" s="32" t="s">
        <v>1306</v>
      </c>
      <c r="D52" s="32" t="s">
        <v>777</v>
      </c>
      <c r="E52" s="32"/>
      <c r="F52" s="32" t="s">
        <v>777</v>
      </c>
      <c r="G52" s="29"/>
      <c r="H52" s="30">
        <v>11230</v>
      </c>
      <c r="I52" s="32" t="s">
        <v>1102</v>
      </c>
      <c r="J52" s="31">
        <f>SUM(B52:H53)</f>
        <v>65776</v>
      </c>
      <c r="K52" s="5"/>
      <c r="L52" s="5"/>
    </row>
    <row r="53" spans="1:12">
      <c r="A53" s="31"/>
      <c r="B53" s="30">
        <v>32370</v>
      </c>
      <c r="C53" s="30">
        <v>19978</v>
      </c>
      <c r="D53" s="30">
        <v>1377</v>
      </c>
      <c r="E53" s="30"/>
      <c r="F53" s="30">
        <v>821</v>
      </c>
      <c r="G53" s="30"/>
      <c r="H53" s="30"/>
      <c r="I53" s="33"/>
      <c r="J53" s="31"/>
      <c r="K53" s="5"/>
      <c r="L53" s="5"/>
    </row>
    <row r="54" spans="1:12">
      <c r="A54" s="5"/>
      <c r="B54" s="13"/>
      <c r="C54" s="13"/>
      <c r="D54" s="13"/>
      <c r="E54" s="13"/>
      <c r="F54" s="13"/>
      <c r="G54" s="13"/>
      <c r="H54" s="13"/>
      <c r="I54" s="13"/>
      <c r="J54" s="5"/>
      <c r="K54" s="5"/>
      <c r="L54" s="5"/>
    </row>
    <row r="55" spans="1:12">
      <c r="A55" s="11" t="s">
        <v>128</v>
      </c>
      <c r="B55" s="12" t="s">
        <v>1307</v>
      </c>
      <c r="C55" s="12" t="s">
        <v>252</v>
      </c>
      <c r="D55" s="12" t="s">
        <v>252</v>
      </c>
      <c r="E55" s="12" t="s">
        <v>252</v>
      </c>
      <c r="F55" s="12"/>
      <c r="G55" s="15"/>
      <c r="H55" s="13">
        <v>12677</v>
      </c>
      <c r="I55" s="12" t="s">
        <v>253</v>
      </c>
      <c r="J55" s="5">
        <f>SUM(B55:H56)</f>
        <v>67801</v>
      </c>
      <c r="K55" s="5"/>
      <c r="L55" s="5"/>
    </row>
    <row r="56" spans="1:12">
      <c r="A56" s="5"/>
      <c r="B56" s="13">
        <v>23321</v>
      </c>
      <c r="C56" s="13">
        <v>27798</v>
      </c>
      <c r="D56" s="13">
        <v>1538</v>
      </c>
      <c r="E56" s="13">
        <v>2467</v>
      </c>
      <c r="F56" s="13"/>
      <c r="G56" s="13"/>
      <c r="H56" s="13"/>
      <c r="I56" s="14"/>
      <c r="J56" s="5"/>
      <c r="K56" s="5"/>
      <c r="L56" s="5"/>
    </row>
    <row r="57" spans="1:12">
      <c r="A57" s="5"/>
      <c r="B57" s="13"/>
      <c r="C57" s="13"/>
      <c r="D57" s="13"/>
      <c r="E57" s="13"/>
      <c r="F57" s="13"/>
      <c r="G57" s="13"/>
      <c r="H57" s="13"/>
      <c r="I57" s="13"/>
      <c r="J57" s="5"/>
      <c r="K57" s="5"/>
      <c r="L57" s="5"/>
    </row>
    <row r="58" spans="1:12">
      <c r="A58" s="28" t="s">
        <v>133</v>
      </c>
      <c r="B58" s="32" t="s">
        <v>221</v>
      </c>
      <c r="C58" s="32" t="s">
        <v>1308</v>
      </c>
      <c r="D58" s="32" t="s">
        <v>221</v>
      </c>
      <c r="E58" s="32" t="s">
        <v>1308</v>
      </c>
      <c r="F58" s="32" t="s">
        <v>1438</v>
      </c>
      <c r="G58" s="32"/>
      <c r="H58" s="30">
        <v>10222</v>
      </c>
      <c r="I58" s="32" t="s">
        <v>222</v>
      </c>
      <c r="J58" s="5">
        <f>SUM(B58:H59)</f>
        <v>47379</v>
      </c>
      <c r="K58" s="5"/>
      <c r="L58" s="5"/>
    </row>
    <row r="59" spans="1:12">
      <c r="A59" s="31"/>
      <c r="B59" s="30">
        <v>31149</v>
      </c>
      <c r="C59" s="30">
        <v>4146</v>
      </c>
      <c r="D59" s="30">
        <v>480</v>
      </c>
      <c r="E59" s="30">
        <v>392</v>
      </c>
      <c r="F59" s="30">
        <v>990</v>
      </c>
      <c r="G59" s="30"/>
      <c r="H59" s="30"/>
      <c r="I59" s="33"/>
      <c r="J59" s="5"/>
      <c r="K59" s="5"/>
      <c r="L59" s="5"/>
    </row>
    <row r="60" spans="1:12">
      <c r="A60" s="5"/>
      <c r="B60" s="13"/>
      <c r="C60" s="13"/>
      <c r="D60" s="13"/>
      <c r="E60" s="13"/>
      <c r="F60" s="13"/>
      <c r="G60" s="13"/>
      <c r="H60" s="13"/>
      <c r="I60" s="13"/>
      <c r="J60" s="5"/>
      <c r="K60" s="5"/>
      <c r="L60" s="5"/>
    </row>
    <row r="61" spans="1:12">
      <c r="A61" s="11" t="s">
        <v>138</v>
      </c>
      <c r="B61" s="12" t="s">
        <v>1309</v>
      </c>
      <c r="C61" s="12" t="s">
        <v>213</v>
      </c>
      <c r="D61" s="12" t="s">
        <v>213</v>
      </c>
      <c r="E61" s="12" t="s">
        <v>213</v>
      </c>
      <c r="F61" s="12" t="s">
        <v>213</v>
      </c>
      <c r="G61" s="12"/>
      <c r="H61" s="13">
        <v>13108</v>
      </c>
      <c r="I61" s="12" t="s">
        <v>214</v>
      </c>
      <c r="J61" s="5">
        <f>SUM(B61:H62)</f>
        <v>66731</v>
      </c>
      <c r="K61" s="5"/>
      <c r="L61" s="5"/>
    </row>
    <row r="62" spans="1:12">
      <c r="A62" s="5"/>
      <c r="B62" s="13">
        <v>20363</v>
      </c>
      <c r="C62" s="13">
        <v>28427</v>
      </c>
      <c r="D62" s="13">
        <v>1675</v>
      </c>
      <c r="E62" s="13">
        <v>2306</v>
      </c>
      <c r="F62" s="13">
        <v>852</v>
      </c>
      <c r="G62" s="13"/>
      <c r="H62" s="13"/>
      <c r="I62" s="14"/>
      <c r="J62" s="5"/>
      <c r="K62" s="5"/>
      <c r="L62" s="5"/>
    </row>
    <row r="63" spans="1:12">
      <c r="A63" s="5"/>
      <c r="B63" s="13"/>
      <c r="C63" s="13"/>
      <c r="D63" s="13"/>
      <c r="E63" s="13"/>
      <c r="F63" s="13"/>
      <c r="G63" s="13"/>
      <c r="H63" s="13"/>
      <c r="I63" s="13"/>
      <c r="J63" s="5"/>
      <c r="K63" s="5"/>
      <c r="L63" s="5"/>
    </row>
    <row r="64" spans="1:12">
      <c r="A64" s="28" t="s">
        <v>141</v>
      </c>
      <c r="B64" s="32" t="s">
        <v>947</v>
      </c>
      <c r="C64" s="32" t="s">
        <v>1310</v>
      </c>
      <c r="D64" s="32" t="s">
        <v>949</v>
      </c>
      <c r="E64" s="32" t="s">
        <v>1310</v>
      </c>
      <c r="F64" s="32" t="s">
        <v>1439</v>
      </c>
      <c r="G64" s="29"/>
      <c r="H64" s="30">
        <v>11164</v>
      </c>
      <c r="I64" s="32" t="s">
        <v>951</v>
      </c>
      <c r="J64" s="5">
        <f>SUM(B64:H65)</f>
        <v>63402</v>
      </c>
      <c r="K64" s="5"/>
      <c r="L64" s="5"/>
    </row>
    <row r="65" spans="1:12">
      <c r="A65" s="31"/>
      <c r="B65" s="30">
        <v>31725</v>
      </c>
      <c r="C65" s="30">
        <v>16356</v>
      </c>
      <c r="D65" s="30">
        <v>2173</v>
      </c>
      <c r="E65" s="30">
        <v>1079</v>
      </c>
      <c r="F65" s="30">
        <v>905</v>
      </c>
      <c r="G65" s="30"/>
      <c r="H65" s="30"/>
      <c r="I65" s="33"/>
      <c r="J65" s="5"/>
      <c r="K65" s="5"/>
      <c r="L65" s="5"/>
    </row>
    <row r="66" spans="1:12">
      <c r="A66" s="5"/>
      <c r="B66" s="13"/>
      <c r="C66" s="13"/>
      <c r="D66" s="13"/>
      <c r="E66" s="13"/>
      <c r="F66" s="13"/>
      <c r="G66" s="13"/>
      <c r="H66" s="13"/>
      <c r="I66" s="13"/>
      <c r="J66" s="5"/>
      <c r="K66" s="5"/>
      <c r="L66" s="5"/>
    </row>
    <row r="67" spans="1:12">
      <c r="A67" s="11" t="s">
        <v>147</v>
      </c>
      <c r="B67" s="12" t="s">
        <v>1311</v>
      </c>
      <c r="C67" s="12" t="s">
        <v>1312</v>
      </c>
      <c r="D67" s="12" t="s">
        <v>1312</v>
      </c>
      <c r="E67" s="12" t="s">
        <v>1312</v>
      </c>
      <c r="F67" s="12" t="s">
        <v>1312</v>
      </c>
      <c r="G67" s="15"/>
      <c r="H67" s="13">
        <v>10549</v>
      </c>
      <c r="I67" s="12" t="s">
        <v>1313</v>
      </c>
      <c r="J67" s="5">
        <f>SUM(B67:H68)</f>
        <v>60999</v>
      </c>
      <c r="K67" s="5"/>
      <c r="L67" s="5"/>
    </row>
    <row r="68" spans="1:12">
      <c r="A68" s="5"/>
      <c r="B68" s="13">
        <v>19010</v>
      </c>
      <c r="C68" s="13">
        <v>26595</v>
      </c>
      <c r="D68" s="13">
        <v>1487</v>
      </c>
      <c r="E68" s="13">
        <v>2008</v>
      </c>
      <c r="F68" s="13">
        <v>1350</v>
      </c>
      <c r="G68" s="13"/>
      <c r="H68" s="13"/>
      <c r="I68" s="14"/>
      <c r="J68" s="5"/>
      <c r="K68" s="5"/>
      <c r="L68" s="5"/>
    </row>
    <row r="69" spans="1:12">
      <c r="A69" s="5"/>
      <c r="B69" s="13"/>
      <c r="C69" s="13"/>
      <c r="D69" s="13"/>
      <c r="E69" s="13"/>
      <c r="F69" s="13"/>
      <c r="G69" s="13"/>
      <c r="H69" s="13"/>
      <c r="I69" s="13"/>
      <c r="J69" s="5"/>
      <c r="K69" s="5"/>
      <c r="L69" s="5"/>
    </row>
    <row r="70" spans="1:12">
      <c r="A70" s="34" t="s">
        <v>152</v>
      </c>
      <c r="B70" s="32" t="s">
        <v>1108</v>
      </c>
      <c r="C70" s="32" t="s">
        <v>1314</v>
      </c>
      <c r="D70" s="32"/>
      <c r="E70" s="32"/>
      <c r="F70" s="32" t="s">
        <v>1314</v>
      </c>
      <c r="G70" s="32"/>
      <c r="H70" s="30">
        <v>7733</v>
      </c>
      <c r="I70" s="32" t="s">
        <v>1109</v>
      </c>
      <c r="J70" s="5">
        <f>SUM(B70:H71)</f>
        <v>24140</v>
      </c>
      <c r="K70" s="5"/>
      <c r="L70" s="5"/>
    </row>
    <row r="71" spans="1:12">
      <c r="A71" s="31"/>
      <c r="B71" s="30">
        <v>14314</v>
      </c>
      <c r="C71" s="30">
        <v>1630</v>
      </c>
      <c r="D71" s="30"/>
      <c r="E71" s="30"/>
      <c r="F71" s="30">
        <v>463</v>
      </c>
      <c r="G71" s="30"/>
      <c r="H71" s="30"/>
      <c r="I71" s="33"/>
      <c r="J71" s="5"/>
      <c r="K71" s="5"/>
      <c r="L71" s="5"/>
    </row>
    <row r="72" spans="1:12">
      <c r="A72" s="5"/>
      <c r="B72" s="13"/>
      <c r="C72" s="13"/>
      <c r="D72" s="13"/>
      <c r="E72" s="13"/>
      <c r="F72" s="13"/>
      <c r="G72" s="13"/>
      <c r="H72" s="13"/>
      <c r="I72" s="13"/>
      <c r="J72" s="5"/>
      <c r="K72" s="5"/>
      <c r="L72" s="5"/>
    </row>
    <row r="73" spans="1:12">
      <c r="A73" s="11" t="s">
        <v>156</v>
      </c>
      <c r="B73" s="12" t="s">
        <v>1110</v>
      </c>
      <c r="C73" s="12" t="s">
        <v>529</v>
      </c>
      <c r="D73" s="12" t="s">
        <v>529</v>
      </c>
      <c r="E73" s="12" t="s">
        <v>529</v>
      </c>
      <c r="F73" s="12" t="s">
        <v>1112</v>
      </c>
      <c r="G73" s="15"/>
      <c r="H73" s="13">
        <v>7925</v>
      </c>
      <c r="I73" s="12" t="s">
        <v>1113</v>
      </c>
      <c r="J73" s="5">
        <f>SUM(B73:H74)</f>
        <v>41223</v>
      </c>
      <c r="K73" s="5"/>
      <c r="L73" s="5"/>
    </row>
    <row r="74" spans="1:12">
      <c r="A74" s="5"/>
      <c r="B74" s="13">
        <v>21276</v>
      </c>
      <c r="C74" s="13">
        <v>9071</v>
      </c>
      <c r="D74" s="13">
        <v>582</v>
      </c>
      <c r="E74" s="13">
        <v>1090</v>
      </c>
      <c r="F74" s="13">
        <v>1279</v>
      </c>
      <c r="G74" s="13"/>
      <c r="H74" s="13"/>
      <c r="I74" s="14"/>
      <c r="J74" s="5"/>
      <c r="K74" s="5"/>
      <c r="L74" s="5"/>
    </row>
    <row r="75" spans="1:12">
      <c r="A75" s="5"/>
      <c r="B75" s="13"/>
      <c r="C75" s="13"/>
      <c r="D75" s="13"/>
      <c r="E75" s="13"/>
      <c r="F75" s="13"/>
      <c r="G75" s="13"/>
      <c r="H75" s="13"/>
      <c r="I75" s="13"/>
      <c r="J75" s="5"/>
      <c r="K75" s="5"/>
      <c r="L75" s="5"/>
    </row>
    <row r="76" spans="1:12">
      <c r="A76" s="34" t="s">
        <v>163</v>
      </c>
      <c r="B76" s="32" t="s">
        <v>164</v>
      </c>
      <c r="C76" s="32"/>
      <c r="D76" s="32"/>
      <c r="E76" s="32"/>
      <c r="F76" s="32" t="s">
        <v>789</v>
      </c>
      <c r="G76" s="29"/>
      <c r="H76" s="30">
        <v>16717</v>
      </c>
      <c r="I76" s="32" t="s">
        <v>1315</v>
      </c>
      <c r="J76" s="5">
        <f>SUM(B76:H77)</f>
        <v>45826</v>
      </c>
      <c r="K76" s="5"/>
      <c r="L76" s="5"/>
    </row>
    <row r="77" spans="1:12">
      <c r="A77" s="31"/>
      <c r="B77" s="30">
        <v>27908</v>
      </c>
      <c r="C77" s="30"/>
      <c r="D77" s="30"/>
      <c r="E77" s="30"/>
      <c r="F77" s="30">
        <v>1201</v>
      </c>
      <c r="G77" s="30"/>
      <c r="H77" s="30"/>
      <c r="I77" s="33"/>
      <c r="J77" s="5"/>
      <c r="K77" s="5"/>
      <c r="L77" s="5"/>
    </row>
    <row r="78" spans="1:12">
      <c r="A78" s="5"/>
      <c r="B78" s="13"/>
      <c r="C78" s="13"/>
      <c r="D78" s="13"/>
      <c r="E78" s="13"/>
      <c r="F78" s="13"/>
      <c r="G78" s="13"/>
      <c r="H78" s="13"/>
      <c r="I78" s="13"/>
      <c r="J78" s="5"/>
      <c r="K78" s="5"/>
      <c r="L78" s="5"/>
    </row>
    <row r="79" spans="1:12">
      <c r="A79" s="11" t="s">
        <v>168</v>
      </c>
      <c r="B79" s="12" t="s">
        <v>1116</v>
      </c>
      <c r="C79" s="12"/>
      <c r="D79" s="12"/>
      <c r="E79" s="12"/>
      <c r="F79" s="12" t="s">
        <v>1116</v>
      </c>
      <c r="G79" s="15"/>
      <c r="H79" s="13">
        <v>14916</v>
      </c>
      <c r="I79" s="12" t="s">
        <v>1117</v>
      </c>
      <c r="J79" s="5">
        <f>SUM(B79:H80)</f>
        <v>32189</v>
      </c>
      <c r="K79" s="5"/>
      <c r="L79" s="5"/>
    </row>
    <row r="80" spans="1:12">
      <c r="A80" s="5"/>
      <c r="B80" s="13">
        <v>16598</v>
      </c>
      <c r="C80" s="13"/>
      <c r="D80" s="13"/>
      <c r="E80" s="13"/>
      <c r="F80" s="13">
        <v>675</v>
      </c>
      <c r="G80" s="13"/>
      <c r="H80" s="13"/>
      <c r="I80" s="14"/>
      <c r="J80" s="5"/>
      <c r="K80" s="5"/>
      <c r="L80" s="5"/>
    </row>
    <row r="81" spans="1:12">
      <c r="A81" s="5"/>
      <c r="B81" s="13"/>
      <c r="C81" s="13"/>
      <c r="D81" s="13"/>
      <c r="E81" s="13"/>
      <c r="F81" s="13"/>
      <c r="G81" s="13"/>
      <c r="H81" s="13"/>
      <c r="I81" s="13"/>
      <c r="J81" s="5"/>
      <c r="K81" s="5"/>
      <c r="L81" s="5"/>
    </row>
    <row r="82" spans="1:12">
      <c r="A82" s="28" t="s">
        <v>174</v>
      </c>
      <c r="B82" s="32" t="s">
        <v>1316</v>
      </c>
      <c r="C82" s="32" t="s">
        <v>1317</v>
      </c>
      <c r="D82" s="32" t="s">
        <v>1317</v>
      </c>
      <c r="E82" s="32" t="s">
        <v>1317</v>
      </c>
      <c r="F82" s="32" t="s">
        <v>1440</v>
      </c>
      <c r="G82" s="32"/>
      <c r="H82" s="30">
        <v>8599</v>
      </c>
      <c r="I82" s="32" t="s">
        <v>1318</v>
      </c>
      <c r="J82" s="5">
        <f>SUM(B82:H83)</f>
        <v>45981</v>
      </c>
      <c r="K82" s="5"/>
      <c r="L82" s="5"/>
    </row>
    <row r="83" spans="1:12">
      <c r="A83" s="31"/>
      <c r="B83" s="30">
        <v>24256</v>
      </c>
      <c r="C83" s="30">
        <v>10769</v>
      </c>
      <c r="D83" s="30">
        <v>609</v>
      </c>
      <c r="E83" s="30">
        <v>880</v>
      </c>
      <c r="F83" s="30">
        <v>868</v>
      </c>
      <c r="G83" s="30"/>
      <c r="H83" s="30"/>
      <c r="I83" s="33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8" t="s">
        <v>176</v>
      </c>
      <c r="B85" s="12" t="s">
        <v>1119</v>
      </c>
      <c r="C85" s="12"/>
      <c r="D85" s="12"/>
      <c r="E85" s="12"/>
      <c r="F85" s="12"/>
      <c r="G85" s="15"/>
      <c r="H85" s="13">
        <v>15694</v>
      </c>
      <c r="I85" s="12" t="s">
        <v>1121</v>
      </c>
      <c r="J85" s="5">
        <f>SUM(B85:H86)</f>
        <v>36543</v>
      </c>
      <c r="K85" s="5"/>
      <c r="L85" s="5"/>
    </row>
    <row r="86" spans="1:12">
      <c r="A86" s="5"/>
      <c r="B86" s="13">
        <v>20849</v>
      </c>
      <c r="C86" s="13"/>
      <c r="D86" s="13"/>
      <c r="E86" s="13"/>
      <c r="F86" s="13"/>
      <c r="G86" s="13"/>
      <c r="H86" s="13"/>
      <c r="I86" s="14"/>
      <c r="J86" s="5"/>
      <c r="K86" s="5"/>
      <c r="L86" s="5"/>
    </row>
    <row r="87" spans="1:12">
      <c r="A87" s="5"/>
      <c r="B87" s="13"/>
      <c r="C87" s="13"/>
      <c r="D87" s="13"/>
      <c r="E87" s="13"/>
      <c r="F87" s="13"/>
      <c r="G87" s="13"/>
      <c r="H87" s="13"/>
      <c r="I87" s="14"/>
      <c r="J87" s="5"/>
      <c r="K87" s="5"/>
      <c r="L87" s="5"/>
    </row>
    <row r="88" spans="1:12">
      <c r="A88" s="34" t="s">
        <v>179</v>
      </c>
      <c r="B88" s="29" t="s">
        <v>256</v>
      </c>
      <c r="C88" s="29" t="s">
        <v>1320</v>
      </c>
      <c r="D88" s="29"/>
      <c r="E88" s="29"/>
      <c r="F88" s="29" t="s">
        <v>256</v>
      </c>
      <c r="G88" s="29"/>
      <c r="H88" s="30">
        <v>10590</v>
      </c>
      <c r="I88" s="29" t="s">
        <v>257</v>
      </c>
      <c r="J88" s="5">
        <f>SUM(B88:H89)</f>
        <v>43793</v>
      </c>
      <c r="K88" s="5"/>
      <c r="L88" s="5"/>
    </row>
    <row r="89" spans="1:12">
      <c r="A89" s="31"/>
      <c r="B89" s="30">
        <v>23253</v>
      </c>
      <c r="C89" s="30">
        <v>8948</v>
      </c>
      <c r="D89" s="30"/>
      <c r="E89" s="30"/>
      <c r="F89" s="30">
        <v>1002</v>
      </c>
      <c r="G89" s="30"/>
      <c r="H89" s="30"/>
      <c r="I89" s="30"/>
      <c r="J89" s="5"/>
      <c r="K89" s="5"/>
      <c r="L89" s="5"/>
    </row>
    <row r="90" spans="1:12">
      <c r="A90" s="5"/>
      <c r="B90" s="13"/>
      <c r="C90" s="13"/>
      <c r="D90" s="13"/>
      <c r="E90" s="13"/>
      <c r="F90" s="13"/>
      <c r="G90" s="13"/>
      <c r="H90" s="13"/>
      <c r="I90" s="13"/>
      <c r="J90" s="5"/>
      <c r="K90" s="5"/>
      <c r="L90" s="5"/>
    </row>
    <row r="91" spans="1:12">
      <c r="A91" s="11" t="s">
        <v>181</v>
      </c>
      <c r="B91" s="12" t="s">
        <v>790</v>
      </c>
      <c r="C91" s="12"/>
      <c r="D91" s="12"/>
      <c r="E91" s="12"/>
      <c r="F91" s="12" t="s">
        <v>791</v>
      </c>
      <c r="G91" s="15"/>
      <c r="H91" s="13">
        <v>11946</v>
      </c>
      <c r="I91" s="15" t="s">
        <v>792</v>
      </c>
      <c r="J91" s="5">
        <f>SUM(B91:H92)</f>
        <v>43599</v>
      </c>
      <c r="K91" s="5"/>
      <c r="L91" s="5"/>
    </row>
    <row r="92" spans="1:12">
      <c r="A92" s="5"/>
      <c r="B92" s="13">
        <v>31063</v>
      </c>
      <c r="C92" s="13"/>
      <c r="D92" s="13"/>
      <c r="E92" s="13"/>
      <c r="F92" s="13">
        <v>590</v>
      </c>
      <c r="G92" s="13"/>
      <c r="H92" s="13"/>
      <c r="I92" s="13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33" t="s">
        <v>4</v>
      </c>
      <c r="B94" s="32" t="s">
        <v>793</v>
      </c>
      <c r="C94" s="32" t="s">
        <v>486</v>
      </c>
      <c r="D94" s="32" t="s">
        <v>486</v>
      </c>
      <c r="E94" s="32" t="s">
        <v>486</v>
      </c>
      <c r="F94" s="32"/>
      <c r="G94" s="32"/>
      <c r="H94" s="30">
        <v>7850</v>
      </c>
      <c r="I94" s="32" t="s">
        <v>794</v>
      </c>
      <c r="J94" s="5">
        <f>SUM(B94:H95)</f>
        <v>34589</v>
      </c>
      <c r="K94" s="5"/>
      <c r="L94" s="5"/>
    </row>
    <row r="95" spans="1:12">
      <c r="A95" s="30"/>
      <c r="B95" s="30">
        <v>18118</v>
      </c>
      <c r="C95" s="30">
        <v>7305</v>
      </c>
      <c r="D95" s="30">
        <v>643</v>
      </c>
      <c r="E95" s="30">
        <v>673</v>
      </c>
      <c r="F95" s="30"/>
      <c r="G95" s="30"/>
      <c r="H95" s="30"/>
      <c r="I95" s="33"/>
      <c r="J95" s="5"/>
      <c r="K95" s="5"/>
      <c r="L95" s="5"/>
    </row>
    <row r="96" spans="1:12">
      <c r="A96" s="13"/>
      <c r="B96" s="13"/>
      <c r="C96" s="13"/>
      <c r="D96" s="13"/>
      <c r="E96" s="13"/>
      <c r="F96" s="13"/>
      <c r="G96" s="13"/>
      <c r="H96" s="13"/>
      <c r="I96" s="13"/>
      <c r="J96" s="5"/>
      <c r="K96" s="5"/>
      <c r="L96" s="5"/>
    </row>
    <row r="97" spans="1:12">
      <c r="A97" s="14" t="s">
        <v>12</v>
      </c>
      <c r="B97" s="12" t="s">
        <v>223</v>
      </c>
      <c r="C97" s="12"/>
      <c r="D97" s="12"/>
      <c r="E97" s="12"/>
      <c r="F97" s="12" t="s">
        <v>223</v>
      </c>
      <c r="G97" s="12"/>
      <c r="H97" s="13">
        <v>12393</v>
      </c>
      <c r="I97" s="12" t="s">
        <v>282</v>
      </c>
      <c r="J97" s="5">
        <f>SUM(B97:H98)</f>
        <v>38440</v>
      </c>
      <c r="K97" s="5"/>
      <c r="L97" s="5"/>
    </row>
    <row r="98" spans="1:12">
      <c r="A98" s="13"/>
      <c r="B98" s="13">
        <v>25451</v>
      </c>
      <c r="C98" s="13"/>
      <c r="D98" s="13"/>
      <c r="E98" s="13"/>
      <c r="F98" s="13">
        <v>596</v>
      </c>
      <c r="G98" s="13"/>
      <c r="H98" s="13"/>
      <c r="I98" s="14"/>
      <c r="J98" s="5"/>
      <c r="K98" s="5"/>
      <c r="L98" s="5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5"/>
      <c r="K99" s="5"/>
      <c r="L99" s="5"/>
    </row>
    <row r="100" spans="1:12">
      <c r="A100" s="33" t="s">
        <v>19</v>
      </c>
      <c r="B100" s="32" t="s">
        <v>20</v>
      </c>
      <c r="C100" s="32"/>
      <c r="D100" s="32"/>
      <c r="E100" s="32"/>
      <c r="F100" s="32" t="s">
        <v>1441</v>
      </c>
      <c r="G100" s="32"/>
      <c r="H100" s="30">
        <v>11312</v>
      </c>
      <c r="I100" s="32" t="s">
        <v>21</v>
      </c>
      <c r="J100" s="5">
        <f>SUM(B100:H101)</f>
        <v>41169</v>
      </c>
      <c r="K100" s="5"/>
      <c r="L100" s="5"/>
    </row>
    <row r="101" spans="1:12">
      <c r="A101" s="30"/>
      <c r="B101" s="30">
        <v>29199</v>
      </c>
      <c r="C101" s="30"/>
      <c r="D101" s="30"/>
      <c r="E101" s="30"/>
      <c r="F101" s="30">
        <v>658</v>
      </c>
      <c r="G101" s="30"/>
      <c r="H101" s="30"/>
      <c r="I101" s="33"/>
      <c r="J101" s="5"/>
      <c r="K101" s="5"/>
      <c r="L101" s="5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5"/>
      <c r="K102" s="5"/>
      <c r="L102" s="5"/>
    </row>
    <row r="103" spans="1:12">
      <c r="A103" s="14" t="s">
        <v>30</v>
      </c>
      <c r="B103" s="12" t="s">
        <v>795</v>
      </c>
      <c r="C103" s="12"/>
      <c r="D103" s="12"/>
      <c r="E103" s="12"/>
      <c r="F103" s="12" t="s">
        <v>796</v>
      </c>
      <c r="G103" s="12"/>
      <c r="H103" s="13">
        <v>12434</v>
      </c>
      <c r="I103" s="12" t="s">
        <v>797</v>
      </c>
      <c r="J103" s="5">
        <f>SUM(B103:H104)</f>
        <v>46024</v>
      </c>
      <c r="K103" s="5"/>
      <c r="L103" s="5"/>
    </row>
    <row r="104" spans="1:12">
      <c r="A104" s="13"/>
      <c r="B104" s="13">
        <v>32780</v>
      </c>
      <c r="C104" s="13"/>
      <c r="D104" s="13"/>
      <c r="E104" s="13"/>
      <c r="F104" s="13">
        <v>810</v>
      </c>
      <c r="G104" s="14"/>
      <c r="H104" s="13"/>
      <c r="I104" s="14"/>
      <c r="J104" s="5"/>
      <c r="K104" s="5"/>
      <c r="L104" s="5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5"/>
      <c r="K105" s="5"/>
      <c r="L105" s="5"/>
    </row>
    <row r="106" spans="1:12">
      <c r="A106" s="33" t="s">
        <v>34</v>
      </c>
      <c r="B106" s="32" t="s">
        <v>273</v>
      </c>
      <c r="C106" s="32"/>
      <c r="D106" s="32"/>
      <c r="E106" s="32"/>
      <c r="F106" s="32"/>
      <c r="G106" s="32"/>
      <c r="H106" s="30">
        <v>12031</v>
      </c>
      <c r="I106" s="32" t="s">
        <v>274</v>
      </c>
      <c r="J106" s="5">
        <f>SUM(B106:H107)</f>
        <v>26952</v>
      </c>
      <c r="K106" s="5"/>
      <c r="L106" s="5"/>
    </row>
    <row r="107" spans="1:12">
      <c r="A107" s="30"/>
      <c r="B107" s="30">
        <v>14921</v>
      </c>
      <c r="C107" s="30"/>
      <c r="D107" s="30"/>
      <c r="E107" s="30"/>
      <c r="F107" s="30"/>
      <c r="G107" s="33"/>
      <c r="H107" s="30"/>
      <c r="I107" s="33"/>
      <c r="J107" s="5"/>
      <c r="K107" s="5"/>
      <c r="L107" s="5"/>
    </row>
    <row r="108" spans="1:12">
      <c r="A108" s="13"/>
      <c r="B108" s="13"/>
      <c r="C108" s="13"/>
      <c r="D108" s="13"/>
      <c r="E108" s="13"/>
      <c r="F108" s="13"/>
      <c r="G108" s="13"/>
      <c r="H108" s="13"/>
      <c r="I108" s="13"/>
      <c r="J108" s="5"/>
      <c r="K108" s="5"/>
      <c r="L108" s="5"/>
    </row>
    <row r="109" spans="1:12">
      <c r="A109" s="14" t="s">
        <v>41</v>
      </c>
      <c r="B109" s="12" t="s">
        <v>42</v>
      </c>
      <c r="C109" s="12"/>
      <c r="D109" s="12"/>
      <c r="E109" s="12"/>
      <c r="F109" s="12"/>
      <c r="G109" s="12"/>
      <c r="H109" s="13">
        <v>11126</v>
      </c>
      <c r="I109" s="12" t="s">
        <v>43</v>
      </c>
      <c r="J109" s="5">
        <f>SUM(B109:H110)</f>
        <v>27318</v>
      </c>
      <c r="K109" s="5"/>
      <c r="L109" s="5"/>
    </row>
    <row r="110" spans="1:12">
      <c r="A110" s="13"/>
      <c r="B110" s="13">
        <v>16192</v>
      </c>
      <c r="C110" s="13"/>
      <c r="D110" s="13"/>
      <c r="E110" s="13"/>
      <c r="F110" s="13"/>
      <c r="G110" s="14"/>
      <c r="H110" s="13"/>
      <c r="I110" s="14"/>
      <c r="J110" s="5"/>
      <c r="K110" s="5"/>
      <c r="L110" s="5"/>
    </row>
    <row r="111" spans="1:12">
      <c r="A111" s="13"/>
      <c r="B111" s="13"/>
      <c r="C111" s="13"/>
      <c r="D111" s="13"/>
      <c r="E111" s="13"/>
      <c r="F111" s="13"/>
      <c r="G111" s="13"/>
      <c r="H111" s="13"/>
      <c r="I111" s="13"/>
      <c r="J111" s="5"/>
      <c r="K111" s="5"/>
      <c r="L111" s="5"/>
    </row>
    <row r="112" spans="1:12">
      <c r="A112" s="33" t="s">
        <v>47</v>
      </c>
      <c r="B112" s="32" t="s">
        <v>1321</v>
      </c>
      <c r="C112" s="32"/>
      <c r="D112" s="32"/>
      <c r="E112" s="32"/>
      <c r="F112" s="32" t="s">
        <v>1321</v>
      </c>
      <c r="G112" s="32"/>
      <c r="H112" s="30">
        <v>12067</v>
      </c>
      <c r="I112" s="32" t="s">
        <v>1322</v>
      </c>
      <c r="J112" s="5">
        <f>SUM(B112:H113)</f>
        <v>36271</v>
      </c>
      <c r="K112" s="5"/>
      <c r="L112" s="5"/>
    </row>
    <row r="113" spans="1:12">
      <c r="A113" s="30"/>
      <c r="B113" s="30">
        <v>22886</v>
      </c>
      <c r="C113" s="30"/>
      <c r="D113" s="30"/>
      <c r="E113" s="30"/>
      <c r="F113" s="30">
        <v>1318</v>
      </c>
      <c r="G113" s="30"/>
      <c r="H113" s="30"/>
      <c r="I113" s="33"/>
      <c r="J113" s="5"/>
      <c r="K113" s="5"/>
      <c r="L113" s="5"/>
    </row>
    <row r="114" spans="1:12">
      <c r="A114" s="13"/>
      <c r="B114" s="13"/>
      <c r="C114" s="13"/>
      <c r="D114" s="13"/>
      <c r="E114" s="13"/>
      <c r="F114" s="13"/>
      <c r="G114" s="13"/>
      <c r="H114" s="13"/>
      <c r="I114" s="13"/>
      <c r="J114" s="5"/>
      <c r="K114" s="5"/>
      <c r="L114" s="5"/>
    </row>
    <row r="115" spans="1:12">
      <c r="A115" s="14" t="s">
        <v>53</v>
      </c>
      <c r="B115" s="12" t="s">
        <v>54</v>
      </c>
      <c r="C115" s="12"/>
      <c r="D115" s="12"/>
      <c r="E115" s="12"/>
      <c r="F115" s="12"/>
      <c r="G115" s="15"/>
      <c r="H115" s="13">
        <v>11337</v>
      </c>
      <c r="I115" s="12" t="s">
        <v>55</v>
      </c>
      <c r="J115" s="5">
        <f>SUM(B115:H116)</f>
        <v>31938</v>
      </c>
      <c r="K115" s="5"/>
      <c r="L115" s="5"/>
    </row>
    <row r="116" spans="1:12">
      <c r="A116" s="13"/>
      <c r="B116" s="13">
        <v>20601</v>
      </c>
      <c r="C116" s="13"/>
      <c r="D116" s="13"/>
      <c r="E116" s="13"/>
      <c r="F116" s="13"/>
      <c r="G116" s="13"/>
      <c r="H116" s="13"/>
      <c r="I116" s="14"/>
      <c r="J116" s="5"/>
      <c r="K116" s="5"/>
      <c r="L116" s="5"/>
    </row>
    <row r="117" spans="1:12">
      <c r="A117" s="13"/>
      <c r="B117" s="13"/>
      <c r="C117" s="13"/>
      <c r="D117" s="13"/>
      <c r="E117" s="13"/>
      <c r="F117" s="13"/>
      <c r="G117" s="13"/>
      <c r="H117" s="13"/>
      <c r="I117" s="13"/>
      <c r="J117" s="5"/>
      <c r="K117" s="5"/>
      <c r="L117" s="5"/>
    </row>
    <row r="118" spans="1:12">
      <c r="A118" s="33" t="s">
        <v>61</v>
      </c>
      <c r="B118" s="32" t="s">
        <v>1323</v>
      </c>
      <c r="C118" s="32" t="s">
        <v>1323</v>
      </c>
      <c r="D118" s="32" t="s">
        <v>1323</v>
      </c>
      <c r="E118" s="32" t="s">
        <v>1323</v>
      </c>
      <c r="F118" s="32"/>
      <c r="G118" s="32"/>
      <c r="H118" s="30">
        <v>10182</v>
      </c>
      <c r="I118" s="32" t="s">
        <v>1324</v>
      </c>
      <c r="J118" s="5">
        <f>SUM(B118:H119)</f>
        <v>30039</v>
      </c>
      <c r="K118" s="5"/>
      <c r="L118" s="5"/>
    </row>
    <row r="119" spans="1:12">
      <c r="A119" s="30"/>
      <c r="B119" s="30">
        <v>14262</v>
      </c>
      <c r="C119" s="30">
        <v>4674</v>
      </c>
      <c r="D119" s="30">
        <v>353</v>
      </c>
      <c r="E119" s="30">
        <v>568</v>
      </c>
      <c r="F119" s="30"/>
      <c r="G119" s="30"/>
      <c r="H119" s="30"/>
      <c r="I119" s="33"/>
      <c r="J119" s="5"/>
      <c r="K119" s="5"/>
      <c r="L119" s="5"/>
    </row>
    <row r="120" spans="1:12">
      <c r="A120" s="13"/>
      <c r="B120" s="13"/>
      <c r="C120" s="13"/>
      <c r="D120" s="13"/>
      <c r="E120" s="13"/>
      <c r="F120" s="13"/>
      <c r="G120" s="13"/>
      <c r="H120" s="13"/>
      <c r="I120" s="13"/>
      <c r="J120" s="5"/>
      <c r="K120" s="5"/>
      <c r="L120" s="5"/>
    </row>
    <row r="121" spans="1:12">
      <c r="A121" s="14" t="s">
        <v>65</v>
      </c>
      <c r="B121" s="12" t="s">
        <v>1325</v>
      </c>
      <c r="C121" s="12"/>
      <c r="D121" s="12"/>
      <c r="E121" s="12"/>
      <c r="F121" s="12" t="s">
        <v>1325</v>
      </c>
      <c r="G121" s="12"/>
      <c r="H121" s="13">
        <v>7248</v>
      </c>
      <c r="I121" s="12" t="s">
        <v>1326</v>
      </c>
      <c r="J121" s="5">
        <f>SUM(B121:H122)</f>
        <v>19912</v>
      </c>
      <c r="K121" s="5"/>
      <c r="L121" s="5"/>
    </row>
    <row r="122" spans="1:12">
      <c r="A122" s="13"/>
      <c r="B122" s="13">
        <v>12169</v>
      </c>
      <c r="C122" s="13"/>
      <c r="D122" s="13"/>
      <c r="E122" s="13"/>
      <c r="F122" s="13">
        <v>495</v>
      </c>
      <c r="G122" s="14"/>
      <c r="H122" s="13"/>
      <c r="I122" s="14"/>
      <c r="J122" s="5"/>
      <c r="K122" s="5"/>
      <c r="L122" s="5"/>
    </row>
    <row r="123" spans="1:12">
      <c r="A123" s="13"/>
      <c r="B123" s="13"/>
      <c r="C123" s="13"/>
      <c r="D123" s="13"/>
      <c r="E123" s="13"/>
      <c r="F123" s="13"/>
      <c r="G123" s="13"/>
      <c r="H123" s="13"/>
      <c r="I123" s="13"/>
      <c r="J123" s="5"/>
      <c r="K123" s="5"/>
      <c r="L123" s="5"/>
    </row>
    <row r="124" spans="1:12">
      <c r="A124" s="33" t="s">
        <v>71</v>
      </c>
      <c r="B124" s="32" t="s">
        <v>275</v>
      </c>
      <c r="C124" s="32" t="s">
        <v>991</v>
      </c>
      <c r="D124" s="32"/>
      <c r="E124" s="32" t="s">
        <v>991</v>
      </c>
      <c r="F124" s="32" t="s">
        <v>275</v>
      </c>
      <c r="G124" s="32"/>
      <c r="H124" s="30">
        <v>12277</v>
      </c>
      <c r="I124" s="32" t="s">
        <v>992</v>
      </c>
      <c r="J124" s="5">
        <f>SUM(B124:H125)</f>
        <v>42334</v>
      </c>
      <c r="K124" s="5"/>
      <c r="L124" s="5"/>
    </row>
    <row r="125" spans="1:12">
      <c r="A125" s="30"/>
      <c r="B125" s="30">
        <v>28528</v>
      </c>
      <c r="C125" s="30">
        <v>921</v>
      </c>
      <c r="D125" s="30"/>
      <c r="E125" s="30">
        <v>97</v>
      </c>
      <c r="F125" s="30">
        <v>511</v>
      </c>
      <c r="G125" s="33"/>
      <c r="H125" s="30"/>
      <c r="I125" s="33"/>
      <c r="J125" s="5"/>
      <c r="K125" s="5"/>
      <c r="L125" s="5"/>
    </row>
    <row r="126" spans="1:12">
      <c r="A126" s="13"/>
      <c r="B126" s="13"/>
      <c r="C126" s="13"/>
      <c r="D126" s="13"/>
      <c r="E126" s="13"/>
      <c r="F126" s="13"/>
      <c r="G126" s="13"/>
      <c r="H126" s="13"/>
      <c r="I126" s="13"/>
      <c r="J126" s="5"/>
      <c r="K126" s="5"/>
      <c r="L126" s="5"/>
    </row>
    <row r="127" spans="1:12">
      <c r="A127" s="14" t="s">
        <v>75</v>
      </c>
      <c r="B127" s="12" t="s">
        <v>76</v>
      </c>
      <c r="C127" s="12" t="s">
        <v>1125</v>
      </c>
      <c r="D127" s="12"/>
      <c r="E127" s="12" t="s">
        <v>1125</v>
      </c>
      <c r="F127" s="12" t="s">
        <v>306</v>
      </c>
      <c r="G127" s="12"/>
      <c r="H127" s="13">
        <v>10434</v>
      </c>
      <c r="I127" s="12" t="s">
        <v>77</v>
      </c>
      <c r="J127" s="5">
        <f>SUM(B127:H128)</f>
        <v>40921</v>
      </c>
      <c r="K127" s="5"/>
      <c r="L127" s="5"/>
    </row>
    <row r="128" spans="1:12">
      <c r="A128" s="13"/>
      <c r="B128" s="13">
        <v>24808</v>
      </c>
      <c r="C128" s="13">
        <v>4421</v>
      </c>
      <c r="D128" s="13"/>
      <c r="E128" s="13">
        <v>519</v>
      </c>
      <c r="F128" s="13">
        <v>739</v>
      </c>
      <c r="G128" s="13"/>
      <c r="H128" s="13"/>
      <c r="I128" s="14"/>
      <c r="J128" s="5"/>
      <c r="K128" s="5"/>
      <c r="L128" s="5"/>
    </row>
    <row r="129" spans="1:12">
      <c r="A129" s="13"/>
      <c r="B129" s="13"/>
      <c r="C129" s="13"/>
      <c r="D129" s="13"/>
      <c r="E129" s="13"/>
      <c r="F129" s="13"/>
      <c r="G129" s="13"/>
      <c r="H129" s="13"/>
      <c r="I129" s="13"/>
      <c r="J129" s="5"/>
      <c r="K129" s="5"/>
      <c r="L129" s="5"/>
    </row>
    <row r="130" spans="1:12">
      <c r="A130" s="33" t="s">
        <v>82</v>
      </c>
      <c r="B130" s="32" t="s">
        <v>961</v>
      </c>
      <c r="C130" s="32" t="s">
        <v>1126</v>
      </c>
      <c r="D130" s="32"/>
      <c r="E130" s="32"/>
      <c r="F130" s="32"/>
      <c r="G130" s="32"/>
      <c r="H130" s="30">
        <v>9918</v>
      </c>
      <c r="I130" s="32" t="s">
        <v>963</v>
      </c>
      <c r="J130" s="5">
        <f>SUM(B130:H131)</f>
        <v>36669</v>
      </c>
      <c r="K130" s="5"/>
      <c r="L130" s="5"/>
    </row>
    <row r="131" spans="1:12">
      <c r="A131" s="30"/>
      <c r="B131" s="30">
        <v>25108</v>
      </c>
      <c r="C131" s="30">
        <v>1643</v>
      </c>
      <c r="D131" s="30"/>
      <c r="E131" s="30"/>
      <c r="F131" s="30"/>
      <c r="G131" s="30"/>
      <c r="H131" s="30"/>
      <c r="I131" s="33"/>
      <c r="J131" s="5"/>
      <c r="K131" s="5"/>
      <c r="L131" s="5"/>
    </row>
    <row r="132" spans="1:12">
      <c r="A132" s="13"/>
      <c r="B132" s="13"/>
      <c r="C132" s="13"/>
      <c r="D132" s="13"/>
      <c r="E132" s="13"/>
      <c r="F132" s="13"/>
      <c r="G132" s="13"/>
      <c r="H132" s="13"/>
      <c r="I132" s="13"/>
      <c r="J132" s="5"/>
      <c r="K132" s="5"/>
      <c r="L132" s="5"/>
    </row>
    <row r="133" spans="1:12">
      <c r="A133" s="14" t="s">
        <v>85</v>
      </c>
      <c r="B133" s="12" t="s">
        <v>801</v>
      </c>
      <c r="C133" s="12" t="s">
        <v>964</v>
      </c>
      <c r="D133" s="12"/>
      <c r="E133" s="12" t="s">
        <v>964</v>
      </c>
      <c r="F133" s="12" t="s">
        <v>801</v>
      </c>
      <c r="G133" s="12"/>
      <c r="H133" s="13">
        <v>10942</v>
      </c>
      <c r="I133" s="12" t="s">
        <v>803</v>
      </c>
      <c r="J133" s="5">
        <f>SUM(B133:H134)</f>
        <v>39807</v>
      </c>
      <c r="K133" s="5"/>
      <c r="L133" s="5"/>
    </row>
    <row r="134" spans="1:12">
      <c r="A134" s="13"/>
      <c r="B134" s="13">
        <v>25972</v>
      </c>
      <c r="C134" s="13">
        <v>1652</v>
      </c>
      <c r="D134" s="13"/>
      <c r="E134" s="13">
        <v>444</v>
      </c>
      <c r="F134" s="13">
        <v>797</v>
      </c>
      <c r="G134" s="13"/>
      <c r="H134" s="13"/>
      <c r="I134" s="14"/>
      <c r="J134" s="5"/>
      <c r="K134" s="5"/>
      <c r="L134" s="5"/>
    </row>
    <row r="135" spans="1:12">
      <c r="A135" s="13"/>
      <c r="B135" s="13"/>
      <c r="C135" s="13"/>
      <c r="D135" s="13"/>
      <c r="E135" s="13"/>
      <c r="F135" s="13"/>
      <c r="G135" s="13"/>
      <c r="H135" s="13"/>
      <c r="I135" s="13"/>
      <c r="J135" s="5"/>
      <c r="K135" s="5"/>
      <c r="L135" s="5"/>
    </row>
    <row r="136" spans="1:12">
      <c r="A136" s="33" t="s">
        <v>90</v>
      </c>
      <c r="B136" s="32" t="s">
        <v>807</v>
      </c>
      <c r="C136" s="32" t="s">
        <v>1327</v>
      </c>
      <c r="D136" s="32"/>
      <c r="E136" s="32" t="s">
        <v>1327</v>
      </c>
      <c r="F136" s="32" t="s">
        <v>809</v>
      </c>
      <c r="G136" s="32"/>
      <c r="H136" s="30">
        <v>9482</v>
      </c>
      <c r="I136" s="32" t="s">
        <v>810</v>
      </c>
      <c r="J136" s="5">
        <f>SUM(B136:H137)</f>
        <v>40891</v>
      </c>
      <c r="K136" s="5"/>
      <c r="L136" s="5"/>
    </row>
    <row r="137" spans="1:12">
      <c r="A137" s="30"/>
      <c r="B137" s="30">
        <v>23711</v>
      </c>
      <c r="C137" s="30">
        <v>4377</v>
      </c>
      <c r="D137" s="30"/>
      <c r="E137" s="30">
        <v>542</v>
      </c>
      <c r="F137" s="30">
        <v>2779</v>
      </c>
      <c r="G137" s="33"/>
      <c r="H137" s="30"/>
      <c r="I137" s="33"/>
      <c r="J137" s="5"/>
      <c r="K137" s="5"/>
      <c r="L137" s="5"/>
    </row>
    <row r="138" spans="1:12">
      <c r="A138" s="13"/>
      <c r="B138" s="13"/>
      <c r="C138" s="13"/>
      <c r="D138" s="13"/>
      <c r="E138" s="13"/>
      <c r="F138" s="13"/>
      <c r="G138" s="13"/>
      <c r="H138" s="13"/>
      <c r="I138" s="13"/>
      <c r="J138" s="5"/>
      <c r="K138" s="5"/>
      <c r="L138" s="5"/>
    </row>
    <row r="139" spans="1:12">
      <c r="A139" s="14" t="s">
        <v>93</v>
      </c>
      <c r="B139" s="12" t="s">
        <v>188</v>
      </c>
      <c r="C139" s="12" t="s">
        <v>188</v>
      </c>
      <c r="D139" s="12"/>
      <c r="E139" s="12"/>
      <c r="F139" s="12" t="s">
        <v>188</v>
      </c>
      <c r="G139" s="12"/>
      <c r="H139" s="13">
        <v>7489</v>
      </c>
      <c r="I139" s="12" t="s">
        <v>199</v>
      </c>
      <c r="J139" s="5">
        <f>SUM(B139:H140)</f>
        <v>29362</v>
      </c>
      <c r="K139" s="5"/>
      <c r="L139" s="5"/>
    </row>
    <row r="140" spans="1:12">
      <c r="A140" s="13"/>
      <c r="B140" s="13">
        <v>11015</v>
      </c>
      <c r="C140" s="13">
        <v>10320</v>
      </c>
      <c r="D140" s="13"/>
      <c r="E140" s="13"/>
      <c r="F140" s="13">
        <v>538</v>
      </c>
      <c r="G140" s="13"/>
      <c r="H140" s="13"/>
      <c r="I140" s="14"/>
      <c r="J140" s="5"/>
      <c r="K140" s="5"/>
      <c r="L140" s="5"/>
    </row>
    <row r="141" spans="1:12">
      <c r="A141" s="13"/>
      <c r="B141" s="13"/>
      <c r="C141" s="13"/>
      <c r="D141" s="13"/>
      <c r="E141" s="13"/>
      <c r="F141" s="13"/>
      <c r="G141" s="13"/>
      <c r="H141" s="13"/>
      <c r="I141" s="13"/>
      <c r="J141" s="5"/>
      <c r="K141" s="5"/>
      <c r="L141" s="5"/>
    </row>
    <row r="142" spans="1:12">
      <c r="A142" s="33" t="s">
        <v>97</v>
      </c>
      <c r="B142" s="32" t="s">
        <v>812</v>
      </c>
      <c r="C142" s="32" t="s">
        <v>1328</v>
      </c>
      <c r="D142" s="32" t="s">
        <v>1328</v>
      </c>
      <c r="E142" s="32" t="s">
        <v>1328</v>
      </c>
      <c r="F142" s="32" t="s">
        <v>812</v>
      </c>
      <c r="G142" s="32"/>
      <c r="H142" s="30">
        <v>7797</v>
      </c>
      <c r="I142" s="32" t="s">
        <v>814</v>
      </c>
      <c r="J142" s="5">
        <f>SUM(B142:H143)</f>
        <v>35340</v>
      </c>
      <c r="K142" s="5"/>
      <c r="L142" s="5"/>
    </row>
    <row r="143" spans="1:12">
      <c r="A143" s="30"/>
      <c r="B143" s="30">
        <v>18402</v>
      </c>
      <c r="C143" s="30">
        <v>7066</v>
      </c>
      <c r="D143" s="30">
        <v>500</v>
      </c>
      <c r="E143" s="30">
        <v>684</v>
      </c>
      <c r="F143" s="30">
        <v>891</v>
      </c>
      <c r="G143" s="33"/>
      <c r="H143" s="30"/>
      <c r="I143" s="33"/>
      <c r="J143" s="5"/>
      <c r="K143" s="5"/>
      <c r="L143" s="5"/>
    </row>
    <row r="144" spans="1:12">
      <c r="A144" s="13"/>
      <c r="B144" s="13"/>
      <c r="C144" s="13"/>
      <c r="D144" s="13"/>
      <c r="E144" s="13"/>
      <c r="F144" s="13"/>
      <c r="G144" s="13"/>
      <c r="H144" s="13"/>
      <c r="I144" s="13"/>
      <c r="J144" s="5"/>
      <c r="K144" s="5"/>
      <c r="L144" s="5"/>
    </row>
    <row r="145" spans="1:12">
      <c r="A145" s="14" t="s">
        <v>101</v>
      </c>
      <c r="B145" s="12" t="s">
        <v>200</v>
      </c>
      <c r="C145" s="12" t="s">
        <v>772</v>
      </c>
      <c r="D145" s="12"/>
      <c r="E145" s="12" t="s">
        <v>772</v>
      </c>
      <c r="F145" s="12" t="s">
        <v>200</v>
      </c>
      <c r="G145" s="12"/>
      <c r="H145" s="13">
        <v>5604</v>
      </c>
      <c r="I145" s="12" t="s">
        <v>102</v>
      </c>
      <c r="J145" s="5">
        <f>SUM(B145:H146)</f>
        <v>26180</v>
      </c>
      <c r="K145" s="5"/>
      <c r="L145" s="5"/>
    </row>
    <row r="146" spans="1:12">
      <c r="A146" s="13"/>
      <c r="B146" s="13">
        <v>14178</v>
      </c>
      <c r="C146" s="13">
        <v>5229</v>
      </c>
      <c r="D146" s="13"/>
      <c r="E146" s="14">
        <v>398</v>
      </c>
      <c r="F146" s="14">
        <v>771</v>
      </c>
      <c r="G146" s="14"/>
      <c r="H146" s="13"/>
      <c r="I146" s="14"/>
      <c r="J146" s="5"/>
      <c r="K146" s="5"/>
      <c r="L146" s="5"/>
    </row>
    <row r="147" spans="1:12">
      <c r="A147" s="13"/>
      <c r="B147" s="13"/>
      <c r="C147" s="13"/>
      <c r="D147" s="13"/>
      <c r="E147" s="13"/>
      <c r="F147" s="13"/>
      <c r="G147" s="13"/>
      <c r="H147" s="13"/>
      <c r="I147" s="13"/>
      <c r="J147" s="5"/>
      <c r="K147" s="5"/>
      <c r="L147" s="5"/>
    </row>
    <row r="148" spans="1:12">
      <c r="A148" s="33" t="s">
        <v>106</v>
      </c>
      <c r="B148" s="32" t="s">
        <v>107</v>
      </c>
      <c r="C148" s="32" t="s">
        <v>107</v>
      </c>
      <c r="D148" s="31"/>
      <c r="E148" s="32" t="s">
        <v>390</v>
      </c>
      <c r="F148" s="32"/>
      <c r="G148" s="32"/>
      <c r="H148" s="30">
        <v>6914</v>
      </c>
      <c r="I148" s="32" t="s">
        <v>108</v>
      </c>
      <c r="J148" s="5">
        <f>SUM(B148:H149)</f>
        <v>26971</v>
      </c>
      <c r="K148" s="5"/>
      <c r="L148" s="5"/>
    </row>
    <row r="149" spans="1:12">
      <c r="A149" s="30"/>
      <c r="B149" s="30">
        <v>8397</v>
      </c>
      <c r="C149" s="30">
        <v>10521</v>
      </c>
      <c r="D149" s="31"/>
      <c r="E149" s="30">
        <v>1139</v>
      </c>
      <c r="F149" s="30"/>
      <c r="G149" s="33"/>
      <c r="H149" s="30"/>
      <c r="I149" s="33"/>
      <c r="J149" s="5"/>
      <c r="K149" s="5"/>
      <c r="L149" s="5"/>
    </row>
    <row r="150" spans="1:12">
      <c r="A150" s="13"/>
      <c r="B150" s="13"/>
      <c r="C150" s="13"/>
      <c r="D150" s="13"/>
      <c r="E150" s="13"/>
      <c r="F150" s="13"/>
      <c r="G150" s="13"/>
      <c r="H150" s="13"/>
      <c r="I150" s="13"/>
      <c r="J150" s="5"/>
      <c r="K150" s="5"/>
      <c r="L150" s="5"/>
    </row>
    <row r="151" spans="1:12">
      <c r="A151" s="14" t="s">
        <v>112</v>
      </c>
      <c r="B151" s="12" t="s">
        <v>261</v>
      </c>
      <c r="C151" s="12" t="s">
        <v>497</v>
      </c>
      <c r="D151" s="12" t="s">
        <v>497</v>
      </c>
      <c r="E151" s="12" t="s">
        <v>497</v>
      </c>
      <c r="F151" s="12" t="s">
        <v>1442</v>
      </c>
      <c r="G151" s="12"/>
      <c r="H151" s="13">
        <v>4693</v>
      </c>
      <c r="I151" s="12" t="s">
        <v>262</v>
      </c>
      <c r="J151" s="5">
        <f>SUM(B151:H152)</f>
        <v>24214</v>
      </c>
      <c r="K151" s="5"/>
      <c r="L151" s="5"/>
    </row>
    <row r="152" spans="1:12">
      <c r="A152" s="13"/>
      <c r="B152" s="13">
        <v>13106</v>
      </c>
      <c r="C152" s="13">
        <v>4787</v>
      </c>
      <c r="D152" s="13">
        <v>230</v>
      </c>
      <c r="E152" s="14">
        <v>470</v>
      </c>
      <c r="F152" s="14">
        <v>928</v>
      </c>
      <c r="G152" s="14"/>
      <c r="H152" s="13"/>
      <c r="I152" s="14"/>
      <c r="J152" s="5"/>
      <c r="K152" s="5"/>
      <c r="L152" s="5"/>
    </row>
    <row r="153" spans="1:12">
      <c r="A153" s="13"/>
      <c r="B153" s="13"/>
      <c r="C153" s="13"/>
      <c r="D153" s="13"/>
      <c r="E153" s="13"/>
      <c r="F153" s="13"/>
      <c r="G153" s="13"/>
      <c r="H153" s="13"/>
      <c r="I153" s="13"/>
      <c r="J153" s="5"/>
      <c r="K153" s="5"/>
      <c r="L153" s="5"/>
    </row>
    <row r="154" spans="1:12">
      <c r="A154" s="33" t="s">
        <v>116</v>
      </c>
      <c r="B154" s="32" t="s">
        <v>117</v>
      </c>
      <c r="C154" s="32" t="s">
        <v>1329</v>
      </c>
      <c r="D154" s="31"/>
      <c r="E154" s="32" t="s">
        <v>1329</v>
      </c>
      <c r="F154" s="32"/>
      <c r="G154" s="32"/>
      <c r="H154" s="30">
        <v>9912</v>
      </c>
      <c r="I154" s="32" t="s">
        <v>118</v>
      </c>
      <c r="J154" s="5">
        <f>SUM(B154:H155)</f>
        <v>37192</v>
      </c>
      <c r="K154" s="5"/>
      <c r="L154" s="5"/>
    </row>
    <row r="155" spans="1:12">
      <c r="A155" s="30"/>
      <c r="B155" s="30">
        <v>24538</v>
      </c>
      <c r="C155" s="30">
        <v>2490</v>
      </c>
      <c r="D155" s="31"/>
      <c r="E155" s="30">
        <v>252</v>
      </c>
      <c r="F155" s="30"/>
      <c r="G155" s="30"/>
      <c r="H155" s="30"/>
      <c r="I155" s="33"/>
      <c r="J155" s="5"/>
      <c r="K155" s="5"/>
      <c r="L155" s="5"/>
    </row>
    <row r="156" spans="1:12">
      <c r="A156" s="13"/>
      <c r="B156" s="13"/>
      <c r="C156" s="13"/>
      <c r="D156" s="13"/>
      <c r="E156" s="13"/>
      <c r="F156" s="13"/>
      <c r="G156" s="13"/>
      <c r="H156" s="13"/>
      <c r="I156" s="13"/>
      <c r="J156" s="5"/>
      <c r="K156" s="5"/>
      <c r="L156" s="5"/>
    </row>
    <row r="157" spans="1:12">
      <c r="A157" s="14" t="s">
        <v>120</v>
      </c>
      <c r="B157" s="12" t="s">
        <v>121</v>
      </c>
      <c r="C157" s="12" t="s">
        <v>976</v>
      </c>
      <c r="D157" s="12"/>
      <c r="E157" s="12" t="s">
        <v>1330</v>
      </c>
      <c r="F157" s="12" t="s">
        <v>1134</v>
      </c>
      <c r="G157" s="15"/>
      <c r="H157" s="13">
        <v>6687</v>
      </c>
      <c r="I157" s="12" t="s">
        <v>122</v>
      </c>
      <c r="J157" s="5">
        <f>SUM(B157:H158)</f>
        <v>25440</v>
      </c>
      <c r="K157" s="5"/>
      <c r="L157" s="5"/>
    </row>
    <row r="158" spans="1:12">
      <c r="A158" s="13"/>
      <c r="B158" s="13">
        <v>15317</v>
      </c>
      <c r="C158" s="13">
        <v>2161</v>
      </c>
      <c r="D158" s="13"/>
      <c r="E158" s="13">
        <v>290</v>
      </c>
      <c r="F158" s="13">
        <v>985</v>
      </c>
      <c r="G158" s="13"/>
      <c r="H158" s="13"/>
      <c r="I158" s="14"/>
      <c r="J158" s="5"/>
      <c r="K158" s="5"/>
      <c r="L158" s="5"/>
    </row>
    <row r="159" spans="1:12">
      <c r="A159" s="13"/>
      <c r="B159" s="13"/>
      <c r="C159" s="13"/>
      <c r="D159" s="13"/>
      <c r="E159" s="13"/>
      <c r="F159" s="13"/>
      <c r="G159" s="13"/>
      <c r="H159" s="13"/>
      <c r="I159" s="13"/>
      <c r="J159" s="5"/>
      <c r="K159" s="5"/>
      <c r="L159" s="5"/>
    </row>
    <row r="160" spans="1:12">
      <c r="A160" s="33" t="s">
        <v>134</v>
      </c>
      <c r="B160" s="32" t="s">
        <v>972</v>
      </c>
      <c r="C160" s="32" t="s">
        <v>1331</v>
      </c>
      <c r="D160" s="32"/>
      <c r="E160" s="32" t="s">
        <v>1331</v>
      </c>
      <c r="F160" s="32" t="s">
        <v>972</v>
      </c>
      <c r="G160" s="32"/>
      <c r="H160" s="30">
        <v>11422</v>
      </c>
      <c r="I160" s="32" t="s">
        <v>974</v>
      </c>
      <c r="J160" s="5">
        <f>SUM(B160:H161)</f>
        <v>63398</v>
      </c>
      <c r="K160" s="5"/>
      <c r="L160" s="5"/>
    </row>
    <row r="161" spans="1:12">
      <c r="A161" s="30"/>
      <c r="B161" s="30">
        <v>42629</v>
      </c>
      <c r="C161" s="30">
        <v>3885</v>
      </c>
      <c r="D161" s="30"/>
      <c r="E161" s="30">
        <v>387</v>
      </c>
      <c r="F161" s="30">
        <v>5075</v>
      </c>
      <c r="G161" s="30"/>
      <c r="H161" s="30"/>
      <c r="I161" s="33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14" t="s">
        <v>139</v>
      </c>
      <c r="B163" s="12" t="s">
        <v>975</v>
      </c>
      <c r="C163" s="12" t="s">
        <v>1332</v>
      </c>
      <c r="D163" s="12"/>
      <c r="E163" s="12"/>
      <c r="F163" s="12"/>
      <c r="G163" s="12"/>
      <c r="H163" s="13">
        <v>9632</v>
      </c>
      <c r="I163" s="12" t="s">
        <v>977</v>
      </c>
      <c r="J163" s="5">
        <f>SUM(B163:H164)</f>
        <v>36896</v>
      </c>
      <c r="K163" s="5"/>
      <c r="L163" s="5"/>
    </row>
    <row r="164" spans="1:12">
      <c r="A164" s="13" t="s">
        <v>978</v>
      </c>
      <c r="B164" s="13">
        <v>25733</v>
      </c>
      <c r="C164" s="13">
        <v>1531</v>
      </c>
      <c r="D164" s="13"/>
      <c r="E164" s="13"/>
      <c r="F164" s="13"/>
      <c r="G164" s="14"/>
      <c r="H164" s="13"/>
      <c r="I164" s="14"/>
      <c r="J164" s="5"/>
      <c r="K164" s="5"/>
      <c r="L164" s="5"/>
    </row>
    <row r="165" spans="1:12">
      <c r="A165" s="13"/>
      <c r="B165" s="13"/>
      <c r="C165" s="13"/>
      <c r="D165" s="13"/>
      <c r="E165" s="13"/>
      <c r="F165" s="13"/>
      <c r="G165" s="14"/>
      <c r="H165" s="13"/>
      <c r="I165" s="14"/>
      <c r="J165" s="5"/>
      <c r="K165" s="5"/>
      <c r="L165" s="5"/>
    </row>
    <row r="166" spans="1:12">
      <c r="A166" s="13"/>
      <c r="B166" s="13"/>
      <c r="C166" s="13"/>
      <c r="D166" s="13"/>
      <c r="E166" s="13"/>
      <c r="F166" s="13"/>
      <c r="G166" s="13"/>
      <c r="H166" s="13"/>
      <c r="I166" s="13"/>
      <c r="J166" s="5"/>
      <c r="K166" s="5"/>
      <c r="L166" s="5"/>
    </row>
    <row r="167" spans="1:12">
      <c r="A167" s="33" t="s">
        <v>142</v>
      </c>
      <c r="B167" s="32" t="s">
        <v>1137</v>
      </c>
      <c r="C167" s="32" t="s">
        <v>224</v>
      </c>
      <c r="D167" s="31"/>
      <c r="E167" s="32" t="s">
        <v>224</v>
      </c>
      <c r="F167" s="32" t="s">
        <v>1138</v>
      </c>
      <c r="G167" s="32"/>
      <c r="H167" s="30">
        <v>10033</v>
      </c>
      <c r="I167" s="32" t="s">
        <v>1139</v>
      </c>
      <c r="J167" s="5">
        <f>SUM(B167:H168)</f>
        <v>31488</v>
      </c>
      <c r="K167" s="5"/>
      <c r="L167" s="5"/>
    </row>
    <row r="168" spans="1:12">
      <c r="A168" s="30"/>
      <c r="B168" s="30">
        <v>20033</v>
      </c>
      <c r="C168" s="30">
        <v>815</v>
      </c>
      <c r="D168" s="31"/>
      <c r="E168" s="30">
        <v>108</v>
      </c>
      <c r="F168" s="30">
        <v>499</v>
      </c>
      <c r="G168" s="33"/>
      <c r="H168" s="30"/>
      <c r="I168" s="33"/>
      <c r="J168" s="5"/>
      <c r="K168" s="5"/>
      <c r="L168" s="5"/>
    </row>
    <row r="169" spans="1:12">
      <c r="A169" s="13"/>
      <c r="B169" s="13"/>
      <c r="C169" s="13"/>
      <c r="D169" s="13"/>
      <c r="E169" s="13"/>
      <c r="F169" s="13"/>
      <c r="G169" s="13"/>
      <c r="H169" s="13"/>
      <c r="I169" s="13"/>
      <c r="J169" s="5"/>
      <c r="K169" s="5"/>
      <c r="L169" s="5"/>
    </row>
    <row r="170" spans="1:12">
      <c r="A170" s="14" t="s">
        <v>145</v>
      </c>
      <c r="B170" s="12" t="s">
        <v>982</v>
      </c>
      <c r="C170" s="12" t="s">
        <v>983</v>
      </c>
      <c r="D170" s="12"/>
      <c r="E170" s="12"/>
      <c r="F170" s="12" t="s">
        <v>1443</v>
      </c>
      <c r="G170" s="12"/>
      <c r="H170" s="13">
        <v>10545</v>
      </c>
      <c r="I170" s="12" t="s">
        <v>985</v>
      </c>
      <c r="J170" s="5">
        <f>SUM(B170:H171)</f>
        <v>38387</v>
      </c>
      <c r="K170" s="5"/>
      <c r="L170" s="5"/>
    </row>
    <row r="171" spans="1:12">
      <c r="A171" s="13"/>
      <c r="B171" s="13">
        <v>26774</v>
      </c>
      <c r="C171" s="13">
        <v>516</v>
      </c>
      <c r="D171" s="13"/>
      <c r="E171" s="13"/>
      <c r="F171" s="13">
        <v>552</v>
      </c>
      <c r="G171" s="14"/>
      <c r="H171" s="13"/>
      <c r="I171" s="14"/>
      <c r="J171" s="5"/>
      <c r="K171" s="5"/>
      <c r="L171" s="5"/>
    </row>
    <row r="172" spans="1:12">
      <c r="A172" s="13"/>
      <c r="B172" s="13"/>
      <c r="C172" s="13"/>
      <c r="D172" s="13"/>
      <c r="E172" s="13"/>
      <c r="F172" s="13"/>
      <c r="G172" s="13"/>
      <c r="H172" s="13"/>
      <c r="I172" s="13"/>
      <c r="J172" s="5"/>
      <c r="K172" s="5"/>
      <c r="L172" s="5"/>
    </row>
    <row r="173" spans="1:12">
      <c r="A173" s="33" t="s">
        <v>150</v>
      </c>
      <c r="B173" s="32" t="s">
        <v>825</v>
      </c>
      <c r="C173" s="32" t="s">
        <v>1333</v>
      </c>
      <c r="D173" s="32"/>
      <c r="E173" s="32"/>
      <c r="F173" s="32"/>
      <c r="G173" s="32"/>
      <c r="H173" s="30">
        <v>11686</v>
      </c>
      <c r="I173" s="32" t="s">
        <v>827</v>
      </c>
      <c r="J173" s="5">
        <f>SUM(B173:H174)</f>
        <v>43074</v>
      </c>
      <c r="K173" s="5"/>
      <c r="L173" s="5"/>
    </row>
    <row r="174" spans="1:12">
      <c r="A174" s="30"/>
      <c r="B174" s="30">
        <v>30911</v>
      </c>
      <c r="C174" s="30">
        <v>477</v>
      </c>
      <c r="D174" s="30"/>
      <c r="E174" s="30"/>
      <c r="F174" s="30"/>
      <c r="G174" s="30"/>
      <c r="H174" s="30"/>
      <c r="I174" s="33"/>
      <c r="J174" s="5"/>
      <c r="K174" s="5"/>
      <c r="L174" s="5"/>
    </row>
    <row r="175" spans="1:12">
      <c r="A175" s="13"/>
      <c r="B175" s="13"/>
      <c r="C175" s="13"/>
      <c r="D175" s="13"/>
      <c r="E175" s="13"/>
      <c r="F175" s="13"/>
      <c r="G175" s="13"/>
      <c r="H175" s="13"/>
      <c r="I175" s="13"/>
      <c r="J175" s="5"/>
      <c r="K175" s="5"/>
      <c r="L175" s="5"/>
    </row>
    <row r="176" spans="1:12">
      <c r="A176" s="14" t="s">
        <v>154</v>
      </c>
      <c r="B176" s="12" t="s">
        <v>1141</v>
      </c>
      <c r="C176" s="12" t="s">
        <v>1334</v>
      </c>
      <c r="D176" s="12"/>
      <c r="E176" s="12"/>
      <c r="F176" s="12" t="s">
        <v>1141</v>
      </c>
      <c r="G176" s="12"/>
      <c r="H176" s="13">
        <v>11711</v>
      </c>
      <c r="I176" s="12" t="s">
        <v>1335</v>
      </c>
      <c r="J176" s="5">
        <f>SUM(B176:H177)</f>
        <v>52504</v>
      </c>
      <c r="K176" s="5"/>
      <c r="L176" s="5"/>
    </row>
    <row r="177" spans="1:12">
      <c r="A177" s="13"/>
      <c r="B177" s="13">
        <v>37078</v>
      </c>
      <c r="C177" s="13">
        <v>801</v>
      </c>
      <c r="D177" s="13"/>
      <c r="E177" s="13"/>
      <c r="F177" s="13">
        <v>2914</v>
      </c>
      <c r="G177" s="13"/>
      <c r="H177" s="13"/>
      <c r="I177" s="13"/>
      <c r="J177" s="5"/>
      <c r="K177" s="5"/>
      <c r="L177" s="5"/>
    </row>
    <row r="178" spans="1:12">
      <c r="A178" s="13"/>
      <c r="B178" s="13"/>
      <c r="C178" s="13"/>
      <c r="D178" s="13"/>
      <c r="E178" s="13"/>
      <c r="F178" s="13"/>
      <c r="G178" s="13"/>
      <c r="H178" s="13"/>
      <c r="I178" s="13"/>
      <c r="J178" s="5"/>
      <c r="K178" s="5"/>
      <c r="L178" s="5"/>
    </row>
    <row r="179" spans="1:12">
      <c r="A179" s="33" t="s">
        <v>158</v>
      </c>
      <c r="B179" s="32" t="s">
        <v>159</v>
      </c>
      <c r="C179" s="32"/>
      <c r="D179" s="32"/>
      <c r="E179" s="32"/>
      <c r="F179" s="32" t="s">
        <v>504</v>
      </c>
      <c r="G179" s="32"/>
      <c r="H179" s="30">
        <v>10021</v>
      </c>
      <c r="I179" s="32" t="s">
        <v>160</v>
      </c>
      <c r="J179" s="5">
        <f>SUM(B179:H180)</f>
        <v>40090</v>
      </c>
      <c r="K179" s="5"/>
      <c r="L179" s="5"/>
    </row>
    <row r="180" spans="1:12">
      <c r="A180" s="30"/>
      <c r="B180" s="30">
        <v>29628</v>
      </c>
      <c r="C180" s="30"/>
      <c r="D180" s="30"/>
      <c r="E180" s="30"/>
      <c r="F180" s="30">
        <v>441</v>
      </c>
      <c r="G180" s="30"/>
      <c r="H180" s="30"/>
      <c r="I180" s="33"/>
      <c r="J180" s="5"/>
      <c r="K180" s="5"/>
      <c r="L180" s="5"/>
    </row>
    <row r="181" spans="1:12">
      <c r="A181" s="13"/>
      <c r="B181" s="13"/>
      <c r="C181" s="13"/>
      <c r="D181" s="13"/>
      <c r="E181" s="13"/>
      <c r="F181" s="13"/>
      <c r="G181" s="13"/>
      <c r="H181" s="13"/>
      <c r="I181" s="13"/>
      <c r="J181" s="5"/>
      <c r="K181" s="5"/>
      <c r="L181" s="5"/>
    </row>
    <row r="182" spans="1:12">
      <c r="A182" s="14" t="s">
        <v>166</v>
      </c>
      <c r="B182" s="12" t="s">
        <v>988</v>
      </c>
      <c r="C182" s="12"/>
      <c r="D182" s="12"/>
      <c r="E182" s="12" t="s">
        <v>1336</v>
      </c>
      <c r="F182" s="12"/>
      <c r="G182" s="5"/>
      <c r="H182" s="13">
        <v>16441</v>
      </c>
      <c r="I182" s="12" t="s">
        <v>1143</v>
      </c>
      <c r="J182" s="5">
        <f>SUM(B182:H183)</f>
        <v>42416</v>
      </c>
      <c r="K182" s="5"/>
      <c r="L182" s="5"/>
    </row>
    <row r="183" spans="1:12">
      <c r="A183" s="13"/>
      <c r="B183" s="13">
        <v>24659</v>
      </c>
      <c r="C183" s="13"/>
      <c r="D183" s="13"/>
      <c r="E183" s="13">
        <v>1316</v>
      </c>
      <c r="F183" s="13"/>
      <c r="G183" s="5"/>
      <c r="H183" s="13"/>
      <c r="I183" s="14"/>
      <c r="J183" s="5"/>
      <c r="K183" s="5"/>
      <c r="L183" s="5"/>
    </row>
    <row r="184" spans="1:12">
      <c r="A184" s="13"/>
      <c r="B184" s="13"/>
      <c r="C184" s="13"/>
      <c r="D184" s="13"/>
      <c r="E184" s="13"/>
      <c r="F184" s="13"/>
      <c r="G184" s="13"/>
      <c r="H184" s="13"/>
      <c r="I184" s="13"/>
      <c r="J184" s="5"/>
      <c r="K184" s="5"/>
      <c r="L184" s="5"/>
    </row>
    <row r="185" spans="1:12">
      <c r="A185" s="33" t="s">
        <v>170</v>
      </c>
      <c r="B185" s="32" t="s">
        <v>1144</v>
      </c>
      <c r="C185" s="32" t="s">
        <v>1337</v>
      </c>
      <c r="D185" s="32" t="s">
        <v>1144</v>
      </c>
      <c r="E185" s="32" t="s">
        <v>1337</v>
      </c>
      <c r="F185" s="32" t="s">
        <v>1144</v>
      </c>
      <c r="G185" s="32"/>
      <c r="H185" s="30">
        <v>7563</v>
      </c>
      <c r="I185" s="29" t="s">
        <v>1338</v>
      </c>
      <c r="J185" s="5">
        <f>SUM(B185:H186)</f>
        <v>44260</v>
      </c>
      <c r="K185" s="5"/>
      <c r="L185" s="5"/>
    </row>
    <row r="186" spans="1:12">
      <c r="A186" s="30"/>
      <c r="B186" s="30">
        <v>17847</v>
      </c>
      <c r="C186" s="30">
        <v>15002</v>
      </c>
      <c r="D186" s="30">
        <v>1196</v>
      </c>
      <c r="E186" s="30">
        <v>1618</v>
      </c>
      <c r="F186" s="30">
        <v>1034</v>
      </c>
      <c r="G186" s="30"/>
      <c r="H186" s="30"/>
      <c r="I186" s="30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 t="s">
        <v>5</v>
      </c>
      <c r="B188" s="15" t="s">
        <v>272</v>
      </c>
      <c r="C188" s="15" t="s">
        <v>1339</v>
      </c>
      <c r="D188" s="15" t="s">
        <v>1340</v>
      </c>
      <c r="E188" s="15"/>
      <c r="F188" s="15" t="s">
        <v>272</v>
      </c>
      <c r="G188" s="15"/>
      <c r="H188" s="15">
        <v>8995</v>
      </c>
      <c r="I188" s="10" t="s">
        <v>276</v>
      </c>
      <c r="J188" s="5">
        <f>SUM(B188:H189)</f>
        <v>44532</v>
      </c>
      <c r="K188" s="5"/>
      <c r="L188" s="5"/>
    </row>
    <row r="189" spans="1:12">
      <c r="A189" s="5"/>
      <c r="B189" s="13">
        <v>24698</v>
      </c>
      <c r="C189" s="13">
        <v>8578</v>
      </c>
      <c r="D189" s="13">
        <v>985</v>
      </c>
      <c r="E189" s="13"/>
      <c r="F189" s="13">
        <v>1276</v>
      </c>
      <c r="G189" s="13"/>
      <c r="H189" s="13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33" t="s">
        <v>8</v>
      </c>
      <c r="B191" s="29" t="s">
        <v>1148</v>
      </c>
      <c r="C191" s="29" t="s">
        <v>1149</v>
      </c>
      <c r="D191" s="29" t="s">
        <v>1149</v>
      </c>
      <c r="E191" s="29" t="s">
        <v>1149</v>
      </c>
      <c r="F191" s="29"/>
      <c r="G191" s="29"/>
      <c r="H191" s="29">
        <v>8101</v>
      </c>
      <c r="I191" s="29" t="s">
        <v>1150</v>
      </c>
      <c r="J191" s="5">
        <f>SUM(B191:H192)</f>
        <v>50327</v>
      </c>
      <c r="K191" s="5"/>
      <c r="L191" s="5"/>
    </row>
    <row r="192" spans="1:12">
      <c r="A192" s="30"/>
      <c r="B192" s="30">
        <v>11816</v>
      </c>
      <c r="C192" s="30">
        <v>26975</v>
      </c>
      <c r="D192" s="30">
        <v>1529</v>
      </c>
      <c r="E192" s="30">
        <v>1906</v>
      </c>
      <c r="F192" s="30"/>
      <c r="G192" s="30"/>
      <c r="H192" s="30"/>
      <c r="I192" s="30"/>
      <c r="J192" s="5"/>
      <c r="K192" s="5"/>
      <c r="L192" s="5"/>
    </row>
    <row r="193" spans="1:12">
      <c r="A193" s="13"/>
      <c r="B193" s="13"/>
      <c r="C193" s="13"/>
      <c r="D193" s="13"/>
      <c r="E193" s="13"/>
      <c r="F193" s="13"/>
      <c r="G193" s="13"/>
      <c r="H193" s="13"/>
      <c r="I193" s="13"/>
      <c r="J193" s="5"/>
      <c r="K193" s="5"/>
      <c r="L193" s="5"/>
    </row>
    <row r="194" spans="1:12">
      <c r="A194" s="14" t="s">
        <v>14</v>
      </c>
      <c r="B194" s="12" t="s">
        <v>225</v>
      </c>
      <c r="C194" s="12" t="s">
        <v>1341</v>
      </c>
      <c r="D194" s="12" t="s">
        <v>225</v>
      </c>
      <c r="E194" s="12" t="s">
        <v>225</v>
      </c>
      <c r="F194" s="12" t="s">
        <v>225</v>
      </c>
      <c r="G194" s="12"/>
      <c r="H194" s="13">
        <v>7960</v>
      </c>
      <c r="I194" s="12" t="s">
        <v>226</v>
      </c>
      <c r="J194" s="5">
        <f>SUM(B194:H195)</f>
        <v>44067</v>
      </c>
      <c r="K194" s="5"/>
      <c r="L194" s="5"/>
    </row>
    <row r="195" spans="1:12">
      <c r="A195" s="13"/>
      <c r="B195" s="13">
        <v>20538</v>
      </c>
      <c r="C195" s="13">
        <v>12539</v>
      </c>
      <c r="D195" s="13">
        <v>1029</v>
      </c>
      <c r="E195" s="13">
        <v>1210</v>
      </c>
      <c r="F195" s="13">
        <v>791</v>
      </c>
      <c r="G195" s="13"/>
      <c r="H195" s="13"/>
      <c r="I195" s="14"/>
      <c r="J195" s="5"/>
      <c r="K195" s="5"/>
      <c r="L195" s="5"/>
    </row>
    <row r="196" spans="1:12">
      <c r="A196" s="13"/>
      <c r="B196" s="13"/>
      <c r="C196" s="13"/>
      <c r="D196" s="13"/>
      <c r="E196" s="13"/>
      <c r="F196" s="13"/>
      <c r="G196" s="13"/>
      <c r="H196" s="13"/>
      <c r="I196" s="13"/>
      <c r="J196" s="5"/>
      <c r="K196" s="5"/>
      <c r="L196" s="5"/>
    </row>
    <row r="197" spans="1:12">
      <c r="A197" s="33" t="s">
        <v>23</v>
      </c>
      <c r="B197" s="32" t="s">
        <v>834</v>
      </c>
      <c r="C197" s="32" t="s">
        <v>634</v>
      </c>
      <c r="D197" s="32"/>
      <c r="E197" s="32"/>
      <c r="F197" s="32" t="s">
        <v>834</v>
      </c>
      <c r="G197" s="32"/>
      <c r="H197" s="30">
        <v>9027</v>
      </c>
      <c r="I197" s="32" t="s">
        <v>836</v>
      </c>
      <c r="J197" s="5">
        <f>SUM(B197:H198)</f>
        <v>44058</v>
      </c>
      <c r="K197" s="5"/>
      <c r="L197" s="5"/>
    </row>
    <row r="198" spans="1:12">
      <c r="A198" s="30"/>
      <c r="B198" s="30">
        <v>26291</v>
      </c>
      <c r="C198" s="30">
        <v>7392</v>
      </c>
      <c r="D198" s="30"/>
      <c r="E198" s="30"/>
      <c r="F198" s="30">
        <v>1348</v>
      </c>
      <c r="G198" s="33"/>
      <c r="H198" s="30"/>
      <c r="I198" s="33"/>
      <c r="J198" s="5"/>
      <c r="K198" s="5"/>
      <c r="L198" s="5"/>
    </row>
    <row r="199" spans="1:12">
      <c r="A199" s="13"/>
      <c r="B199" s="13"/>
      <c r="C199" s="13"/>
      <c r="D199" s="13"/>
      <c r="E199" s="13"/>
      <c r="F199" s="13"/>
      <c r="G199" s="13"/>
      <c r="H199" s="13"/>
      <c r="I199" s="13"/>
      <c r="J199" s="5"/>
      <c r="K199" s="5"/>
      <c r="L199" s="5"/>
    </row>
    <row r="200" spans="1:12">
      <c r="A200" s="14" t="s">
        <v>29</v>
      </c>
      <c r="B200" s="15" t="s">
        <v>1001</v>
      </c>
      <c r="C200" s="15" t="s">
        <v>1342</v>
      </c>
      <c r="D200" s="15"/>
      <c r="E200" s="15"/>
      <c r="F200" s="15" t="s">
        <v>1001</v>
      </c>
      <c r="G200" s="15"/>
      <c r="H200" s="15">
        <v>12644</v>
      </c>
      <c r="I200" s="15" t="s">
        <v>1003</v>
      </c>
      <c r="J200" s="5">
        <f>SUM(B200:H201)</f>
        <v>60962</v>
      </c>
      <c r="K200" s="5"/>
      <c r="L200" s="5"/>
    </row>
    <row r="201" spans="1:12">
      <c r="A201" s="13"/>
      <c r="B201" s="13">
        <v>35556</v>
      </c>
      <c r="C201" s="13">
        <v>11636</v>
      </c>
      <c r="D201" s="13"/>
      <c r="E201" s="13"/>
      <c r="F201" s="13">
        <v>1126</v>
      </c>
      <c r="G201" s="13"/>
      <c r="H201" s="13"/>
      <c r="I201" s="13"/>
      <c r="J201" s="5"/>
      <c r="K201" s="5"/>
      <c r="L201" s="5"/>
    </row>
    <row r="202" spans="1:12">
      <c r="A202" s="13"/>
      <c r="B202" s="13"/>
      <c r="C202" s="13"/>
      <c r="D202" s="13"/>
      <c r="E202" s="13"/>
      <c r="F202" s="13"/>
      <c r="G202" s="13"/>
      <c r="H202" s="13"/>
      <c r="I202" s="13"/>
      <c r="J202" s="5"/>
      <c r="K202" s="5"/>
      <c r="L202" s="5"/>
    </row>
    <row r="203" spans="1:12">
      <c r="A203" s="33" t="s">
        <v>36</v>
      </c>
      <c r="B203" s="32" t="s">
        <v>37</v>
      </c>
      <c r="C203" s="32"/>
      <c r="D203" s="32"/>
      <c r="E203" s="32"/>
      <c r="F203" s="32" t="s">
        <v>511</v>
      </c>
      <c r="G203" s="32"/>
      <c r="H203" s="30">
        <v>17462</v>
      </c>
      <c r="I203" s="32" t="s">
        <v>38</v>
      </c>
      <c r="J203" s="5">
        <f>SUM(B203:H204)</f>
        <v>67405</v>
      </c>
      <c r="K203" s="5"/>
      <c r="L203" s="5"/>
    </row>
    <row r="204" spans="1:12">
      <c r="A204" s="30"/>
      <c r="B204" s="30">
        <v>46585</v>
      </c>
      <c r="C204" s="30"/>
      <c r="D204" s="30"/>
      <c r="E204" s="30"/>
      <c r="F204" s="30">
        <v>3358</v>
      </c>
      <c r="G204" s="33"/>
      <c r="H204" s="30"/>
      <c r="I204" s="30"/>
      <c r="J204" s="5"/>
      <c r="K204" s="5"/>
      <c r="L204" s="5"/>
    </row>
    <row r="205" spans="1:12">
      <c r="A205" s="13"/>
      <c r="B205" s="13"/>
      <c r="C205" s="13"/>
      <c r="D205" s="13"/>
      <c r="E205" s="13"/>
      <c r="F205" s="13"/>
      <c r="G205" s="13"/>
      <c r="H205" s="13"/>
      <c r="I205" s="13"/>
      <c r="J205" s="5"/>
      <c r="K205" s="5"/>
      <c r="L205" s="5"/>
    </row>
    <row r="206" spans="1:12">
      <c r="A206" s="14" t="s">
        <v>46</v>
      </c>
      <c r="B206" s="12" t="s">
        <v>263</v>
      </c>
      <c r="C206" s="12" t="s">
        <v>952</v>
      </c>
      <c r="D206" s="12"/>
      <c r="E206" s="12"/>
      <c r="F206" s="12" t="s">
        <v>263</v>
      </c>
      <c r="G206" s="12"/>
      <c r="H206" s="13">
        <v>13031</v>
      </c>
      <c r="I206" s="12" t="s">
        <v>264</v>
      </c>
      <c r="J206" s="5">
        <f>SUM(B206:H207)</f>
        <v>68636</v>
      </c>
      <c r="K206" s="5"/>
      <c r="L206" s="5"/>
    </row>
    <row r="207" spans="1:12">
      <c r="A207" s="13"/>
      <c r="B207" s="13">
        <v>44539</v>
      </c>
      <c r="C207" s="13">
        <v>8825</v>
      </c>
      <c r="D207" s="13"/>
      <c r="E207" s="13"/>
      <c r="F207" s="13">
        <v>2241</v>
      </c>
      <c r="G207" s="14"/>
      <c r="H207" s="13"/>
      <c r="I207" s="14"/>
      <c r="J207" s="5"/>
      <c r="K207" s="5"/>
      <c r="L207" s="5"/>
    </row>
    <row r="208" spans="1:12">
      <c r="A208" s="13"/>
      <c r="B208" s="13"/>
      <c r="C208" s="13"/>
      <c r="D208" s="13"/>
      <c r="E208" s="13"/>
      <c r="F208" s="13"/>
      <c r="G208" s="13"/>
      <c r="H208" s="13"/>
      <c r="I208" s="13"/>
      <c r="J208" s="5"/>
      <c r="K208" s="5"/>
      <c r="L208" s="5"/>
    </row>
    <row r="209" spans="1:12">
      <c r="A209" s="33" t="s">
        <v>51</v>
      </c>
      <c r="B209" s="29" t="s">
        <v>1343</v>
      </c>
      <c r="C209" s="29" t="s">
        <v>1344</v>
      </c>
      <c r="D209" s="29" t="s">
        <v>1345</v>
      </c>
      <c r="E209" s="29"/>
      <c r="F209" s="29"/>
      <c r="G209" s="29"/>
      <c r="H209" s="30">
        <v>12669</v>
      </c>
      <c r="I209" s="29" t="s">
        <v>1346</v>
      </c>
      <c r="J209" s="5">
        <f>SUM(B209:H210)</f>
        <v>45608</v>
      </c>
      <c r="K209" s="5"/>
      <c r="L209" s="5"/>
    </row>
    <row r="210" spans="1:12">
      <c r="A210" s="30"/>
      <c r="B210" s="30">
        <v>30189</v>
      </c>
      <c r="C210" s="30">
        <v>2123</v>
      </c>
      <c r="D210" s="30">
        <v>627</v>
      </c>
      <c r="E210" s="30"/>
      <c r="F210" s="30"/>
      <c r="G210" s="30"/>
      <c r="H210" s="30"/>
      <c r="I210" s="30"/>
      <c r="J210" s="5"/>
      <c r="K210" s="5"/>
      <c r="L210" s="5"/>
    </row>
    <row r="211" spans="1:12">
      <c r="A211" s="13"/>
      <c r="B211" s="13"/>
      <c r="C211" s="13"/>
      <c r="D211" s="13"/>
      <c r="E211" s="13"/>
      <c r="F211" s="13"/>
      <c r="G211" s="13"/>
      <c r="H211" s="13"/>
      <c r="I211" s="13"/>
      <c r="J211" s="5"/>
      <c r="K211" s="5"/>
      <c r="L211" s="5"/>
    </row>
    <row r="212" spans="1:12">
      <c r="A212" s="14" t="s">
        <v>58</v>
      </c>
      <c r="B212" s="12" t="s">
        <v>227</v>
      </c>
      <c r="C212" s="12"/>
      <c r="D212" s="12"/>
      <c r="E212" s="12"/>
      <c r="F212" s="12"/>
      <c r="G212" s="15"/>
      <c r="H212" s="13">
        <v>17828</v>
      </c>
      <c r="I212" s="12" t="s">
        <v>228</v>
      </c>
      <c r="J212" s="5">
        <f>SUM(B212:H213)</f>
        <v>60974</v>
      </c>
      <c r="K212" s="5"/>
      <c r="L212" s="5"/>
    </row>
    <row r="213" spans="1:12">
      <c r="A213" s="13"/>
      <c r="B213" s="13">
        <v>43146</v>
      </c>
      <c r="C213" s="13"/>
      <c r="D213" s="13"/>
      <c r="E213" s="13"/>
      <c r="F213" s="13"/>
      <c r="G213" s="13"/>
      <c r="H213" s="13"/>
      <c r="I213" s="14"/>
      <c r="J213" s="5"/>
      <c r="K213" s="5"/>
      <c r="L213" s="5"/>
    </row>
    <row r="214" spans="1:12">
      <c r="A214" s="13"/>
      <c r="B214" s="13"/>
      <c r="C214" s="13"/>
      <c r="D214" s="13"/>
      <c r="E214" s="13"/>
      <c r="F214" s="13"/>
      <c r="G214" s="13"/>
      <c r="H214" s="13"/>
      <c r="I214" s="13"/>
      <c r="J214" s="5"/>
      <c r="K214" s="5"/>
      <c r="L214" s="5"/>
    </row>
    <row r="215" spans="1:12">
      <c r="A215" s="33" t="s">
        <v>62</v>
      </c>
      <c r="B215" s="32" t="s">
        <v>839</v>
      </c>
      <c r="C215" s="32" t="s">
        <v>1347</v>
      </c>
      <c r="D215" s="32"/>
      <c r="E215" s="32"/>
      <c r="F215" s="32" t="s">
        <v>312</v>
      </c>
      <c r="G215" s="32"/>
      <c r="H215" s="30">
        <v>13331</v>
      </c>
      <c r="I215" s="32" t="s">
        <v>841</v>
      </c>
      <c r="J215" s="5">
        <f>SUM(B215:H216)</f>
        <v>51561</v>
      </c>
      <c r="K215" s="5"/>
      <c r="L215" s="5"/>
    </row>
    <row r="216" spans="1:12">
      <c r="A216" s="30"/>
      <c r="B216" s="30">
        <v>36097</v>
      </c>
      <c r="C216" s="30">
        <v>1076</v>
      </c>
      <c r="D216" s="30"/>
      <c r="E216" s="30"/>
      <c r="F216" s="30">
        <v>1057</v>
      </c>
      <c r="G216" s="33"/>
      <c r="H216" s="30"/>
      <c r="I216" s="33"/>
      <c r="J216" s="5"/>
      <c r="K216" s="5"/>
      <c r="L216" s="5"/>
    </row>
    <row r="217" spans="1:12">
      <c r="A217" s="13"/>
      <c r="B217" s="13"/>
      <c r="C217" s="13"/>
      <c r="D217" s="13"/>
      <c r="E217" s="13"/>
      <c r="F217" s="13"/>
      <c r="G217" s="13"/>
      <c r="H217" s="13"/>
      <c r="I217" s="13"/>
      <c r="J217" s="5"/>
      <c r="K217" s="5"/>
      <c r="L217" s="5"/>
    </row>
    <row r="218" spans="1:12">
      <c r="A218" s="14" t="s">
        <v>67</v>
      </c>
      <c r="B218" s="12" t="s">
        <v>68</v>
      </c>
      <c r="C218" s="12" t="s">
        <v>1348</v>
      </c>
      <c r="D218" s="12"/>
      <c r="E218" s="12"/>
      <c r="F218" s="12"/>
      <c r="G218" s="12"/>
      <c r="H218" s="13">
        <v>12204</v>
      </c>
      <c r="I218" s="12" t="s">
        <v>69</v>
      </c>
      <c r="J218" s="5">
        <f>SUM(B218:H219)</f>
        <v>48681</v>
      </c>
      <c r="K218" s="5"/>
      <c r="L218" s="5"/>
    </row>
    <row r="219" spans="1:12">
      <c r="A219" s="13"/>
      <c r="B219" s="13">
        <v>33830</v>
      </c>
      <c r="C219" s="13">
        <v>2647</v>
      </c>
      <c r="D219" s="13"/>
      <c r="E219" s="13"/>
      <c r="F219" s="13"/>
      <c r="G219" s="13"/>
      <c r="H219" s="13"/>
      <c r="I219" s="14"/>
      <c r="J219" s="5"/>
      <c r="K219" s="5"/>
      <c r="L219" s="5"/>
    </row>
    <row r="220" spans="1:12">
      <c r="A220" s="13"/>
      <c r="B220" s="13"/>
      <c r="C220" s="13"/>
      <c r="D220" s="13"/>
      <c r="E220" s="13"/>
      <c r="F220" s="13"/>
      <c r="G220" s="13"/>
      <c r="H220" s="13"/>
      <c r="I220" s="13"/>
      <c r="J220" s="5"/>
      <c r="K220" s="5"/>
      <c r="L220" s="5"/>
    </row>
    <row r="221" spans="1:12">
      <c r="A221" s="33" t="s">
        <v>72</v>
      </c>
      <c r="B221" s="32" t="s">
        <v>1349</v>
      </c>
      <c r="C221" s="32" t="s">
        <v>1152</v>
      </c>
      <c r="D221" s="32"/>
      <c r="E221" s="32"/>
      <c r="F221" s="32" t="s">
        <v>1349</v>
      </c>
      <c r="G221" s="32"/>
      <c r="H221" s="30">
        <v>8554</v>
      </c>
      <c r="I221" s="32" t="s">
        <v>1350</v>
      </c>
      <c r="J221" s="5">
        <f>SUM(B221:H222)</f>
        <v>36933</v>
      </c>
      <c r="K221" s="5"/>
      <c r="L221" s="5"/>
    </row>
    <row r="222" spans="1:12">
      <c r="A222" s="30"/>
      <c r="B222" s="30">
        <v>25961</v>
      </c>
      <c r="C222" s="30">
        <v>1661</v>
      </c>
      <c r="D222" s="30"/>
      <c r="E222" s="30"/>
      <c r="F222" s="30">
        <v>757</v>
      </c>
      <c r="G222" s="30"/>
      <c r="H222" s="30"/>
      <c r="I222" s="33"/>
      <c r="J222" s="5"/>
      <c r="K222" s="5"/>
      <c r="L222" s="5"/>
    </row>
    <row r="223" spans="1:12">
      <c r="A223" s="13"/>
      <c r="B223" s="13"/>
      <c r="C223" s="13"/>
      <c r="D223" s="13"/>
      <c r="E223" s="13"/>
      <c r="F223" s="13"/>
      <c r="G223" s="13"/>
      <c r="H223" s="13"/>
      <c r="I223" s="13"/>
      <c r="J223" s="5"/>
      <c r="K223" s="5"/>
      <c r="L223" s="5"/>
    </row>
    <row r="224" spans="1:12">
      <c r="A224" s="14" t="s">
        <v>79</v>
      </c>
      <c r="B224" s="12" t="s">
        <v>1158</v>
      </c>
      <c r="C224" s="12" t="s">
        <v>845</v>
      </c>
      <c r="D224" s="12"/>
      <c r="E224" s="12"/>
      <c r="F224" s="12" t="s">
        <v>1158</v>
      </c>
      <c r="G224" s="12"/>
      <c r="H224" s="13">
        <v>12901</v>
      </c>
      <c r="I224" s="12" t="s">
        <v>1161</v>
      </c>
      <c r="J224" s="5">
        <f>SUM(B224:H225)</f>
        <v>63924</v>
      </c>
      <c r="K224" s="5"/>
      <c r="L224" s="5"/>
    </row>
    <row r="225" spans="1:12">
      <c r="A225" s="13"/>
      <c r="B225" s="13">
        <v>36767</v>
      </c>
      <c r="C225" s="13">
        <v>13383</v>
      </c>
      <c r="D225" s="13"/>
      <c r="E225" s="13"/>
      <c r="F225" s="13">
        <v>873</v>
      </c>
      <c r="G225" s="13"/>
      <c r="H225" s="13"/>
      <c r="I225" s="14"/>
      <c r="J225" s="5"/>
      <c r="K225" s="5"/>
      <c r="L225" s="5"/>
    </row>
    <row r="226" spans="1:12">
      <c r="A226" s="13"/>
      <c r="B226" s="13"/>
      <c r="C226" s="13"/>
      <c r="D226" s="13"/>
      <c r="E226" s="13"/>
      <c r="F226" s="13"/>
      <c r="G226" s="13"/>
      <c r="H226" s="13"/>
      <c r="I226" s="13"/>
      <c r="J226" s="5"/>
      <c r="K226" s="5"/>
      <c r="L226" s="5"/>
    </row>
    <row r="227" spans="1:12">
      <c r="A227" s="33" t="s">
        <v>87</v>
      </c>
      <c r="B227" s="32" t="s">
        <v>266</v>
      </c>
      <c r="C227" s="32" t="s">
        <v>672</v>
      </c>
      <c r="D227" s="32"/>
      <c r="E227" s="32"/>
      <c r="F227" s="32" t="s">
        <v>266</v>
      </c>
      <c r="G227" s="29"/>
      <c r="H227" s="30">
        <v>14190</v>
      </c>
      <c r="I227" s="32" t="s">
        <v>265</v>
      </c>
      <c r="J227" s="5">
        <f>SUM(B227:H228)</f>
        <v>59651</v>
      </c>
      <c r="K227" s="5"/>
      <c r="L227" s="5"/>
    </row>
    <row r="228" spans="1:12">
      <c r="A228" s="30"/>
      <c r="B228" s="30">
        <v>36711</v>
      </c>
      <c r="C228" s="30">
        <v>6684</v>
      </c>
      <c r="D228" s="30"/>
      <c r="E228" s="30"/>
      <c r="F228" s="30">
        <v>2066</v>
      </c>
      <c r="G228" s="30"/>
      <c r="H228" s="30"/>
      <c r="I228" s="30"/>
      <c r="J228" s="5"/>
      <c r="K228" s="5"/>
      <c r="L228" s="5"/>
    </row>
    <row r="229" spans="1:12">
      <c r="A229" s="13"/>
      <c r="B229" s="13"/>
      <c r="C229" s="13"/>
      <c r="D229" s="13"/>
      <c r="E229" s="13"/>
      <c r="F229" s="13"/>
      <c r="G229" s="13"/>
      <c r="H229" s="13"/>
      <c r="I229" s="13"/>
      <c r="J229" s="5"/>
      <c r="K229" s="5"/>
      <c r="L229" s="5"/>
    </row>
    <row r="230" spans="1:12">
      <c r="A230" s="14" t="s">
        <v>92</v>
      </c>
      <c r="B230" s="12" t="s">
        <v>201</v>
      </c>
      <c r="C230" s="12" t="s">
        <v>866</v>
      </c>
      <c r="D230" s="12" t="s">
        <v>866</v>
      </c>
      <c r="E230" s="12"/>
      <c r="F230" s="12" t="s">
        <v>201</v>
      </c>
      <c r="G230" s="12"/>
      <c r="H230" s="13">
        <v>12641</v>
      </c>
      <c r="I230" s="12" t="s">
        <v>24</v>
      </c>
      <c r="J230" s="5">
        <f>SUM(B230:H231)</f>
        <v>65474</v>
      </c>
      <c r="K230" s="5"/>
      <c r="L230" s="5"/>
    </row>
    <row r="231" spans="1:12">
      <c r="A231" s="13"/>
      <c r="B231" s="13">
        <v>41364</v>
      </c>
      <c r="C231" s="13">
        <v>8478</v>
      </c>
      <c r="D231" s="13">
        <v>896</v>
      </c>
      <c r="E231" s="13"/>
      <c r="F231" s="13">
        <v>2095</v>
      </c>
      <c r="G231" s="12"/>
      <c r="H231" s="13"/>
      <c r="I231" s="13"/>
      <c r="J231" s="5"/>
      <c r="K231" s="5"/>
      <c r="L231" s="5"/>
    </row>
    <row r="232" spans="1:12">
      <c r="A232" s="13"/>
      <c r="B232" s="13"/>
      <c r="C232" s="13"/>
      <c r="D232" s="13"/>
      <c r="E232" s="13"/>
      <c r="F232" s="13"/>
      <c r="G232" s="13"/>
      <c r="H232" s="13"/>
      <c r="I232" s="13"/>
      <c r="J232" s="5"/>
      <c r="K232" s="5"/>
      <c r="L232" s="5"/>
    </row>
    <row r="233" spans="1:12">
      <c r="A233" s="33" t="s">
        <v>95</v>
      </c>
      <c r="B233" s="32" t="s">
        <v>1163</v>
      </c>
      <c r="C233" s="32" t="s">
        <v>1351</v>
      </c>
      <c r="D233" s="32"/>
      <c r="E233" s="32" t="s">
        <v>1351</v>
      </c>
      <c r="F233" s="32" t="s">
        <v>203</v>
      </c>
      <c r="G233" s="32"/>
      <c r="H233" s="30">
        <v>8826</v>
      </c>
      <c r="I233" s="32" t="s">
        <v>1164</v>
      </c>
      <c r="J233" s="5">
        <f>SUM(B233:H234)</f>
        <v>37825</v>
      </c>
      <c r="K233" s="5"/>
      <c r="L233" s="5"/>
    </row>
    <row r="234" spans="1:12">
      <c r="A234" s="30"/>
      <c r="B234" s="29">
        <v>26040</v>
      </c>
      <c r="C234" s="29">
        <v>1895</v>
      </c>
      <c r="D234" s="29"/>
      <c r="E234" s="29">
        <v>272</v>
      </c>
      <c r="F234" s="29">
        <v>792</v>
      </c>
      <c r="G234" s="30"/>
      <c r="H234" s="30"/>
      <c r="I234" s="33"/>
      <c r="J234" s="5"/>
      <c r="K234" s="5"/>
      <c r="L234" s="5"/>
    </row>
    <row r="235" spans="1:12">
      <c r="A235" s="13"/>
      <c r="B235" s="13"/>
      <c r="C235" s="13"/>
      <c r="D235" s="13"/>
      <c r="E235" s="13"/>
      <c r="F235" s="13"/>
      <c r="G235" s="13"/>
      <c r="H235" s="13"/>
      <c r="I235" s="13"/>
      <c r="J235" s="5"/>
      <c r="K235" s="5"/>
      <c r="L235" s="5"/>
    </row>
    <row r="236" spans="1:12">
      <c r="A236" s="14" t="s">
        <v>98</v>
      </c>
      <c r="B236" s="12" t="s">
        <v>1352</v>
      </c>
      <c r="C236" s="15" t="s">
        <v>1353</v>
      </c>
      <c r="D236" s="12"/>
      <c r="E236" s="12" t="s">
        <v>1353</v>
      </c>
      <c r="F236" s="12" t="s">
        <v>1444</v>
      </c>
      <c r="G236" s="12"/>
      <c r="H236" s="13">
        <v>7774</v>
      </c>
      <c r="I236" s="12" t="s">
        <v>1354</v>
      </c>
      <c r="J236" s="5">
        <f>SUM(B236:H237)</f>
        <v>32480</v>
      </c>
      <c r="K236" s="5"/>
      <c r="L236" s="5"/>
    </row>
    <row r="237" spans="1:12">
      <c r="A237" s="13"/>
      <c r="B237" s="15">
        <v>23429</v>
      </c>
      <c r="C237" s="15">
        <v>760</v>
      </c>
      <c r="D237" s="15"/>
      <c r="E237" s="13">
        <v>89</v>
      </c>
      <c r="F237" s="13">
        <v>428</v>
      </c>
      <c r="G237" s="14"/>
      <c r="H237" s="13"/>
      <c r="I237" s="14"/>
      <c r="J237" s="5"/>
      <c r="K237" s="5"/>
      <c r="L237" s="5"/>
    </row>
    <row r="238" spans="1:12">
      <c r="A238" s="13"/>
      <c r="B238" s="13"/>
      <c r="C238" s="13"/>
      <c r="D238" s="13"/>
      <c r="E238" s="13"/>
      <c r="F238" s="13"/>
      <c r="G238" s="13"/>
      <c r="H238" s="13"/>
      <c r="I238" s="13"/>
      <c r="J238" s="5"/>
      <c r="K238" s="5"/>
      <c r="L238" s="5"/>
    </row>
    <row r="239" spans="1:12" ht="17.25">
      <c r="A239" s="14" t="s">
        <v>1435</v>
      </c>
      <c r="B239" s="15" t="s">
        <v>1004</v>
      </c>
      <c r="C239" s="15" t="s">
        <v>1355</v>
      </c>
      <c r="D239" s="15"/>
      <c r="E239" s="15" t="s">
        <v>203</v>
      </c>
      <c r="F239" s="15" t="s">
        <v>1004</v>
      </c>
      <c r="G239" s="15"/>
      <c r="H239" s="15">
        <v>25</v>
      </c>
      <c r="I239" s="15" t="s">
        <v>1356</v>
      </c>
      <c r="J239" s="5">
        <f>SUM(B239:H240)</f>
        <v>2369</v>
      </c>
      <c r="K239" s="5"/>
      <c r="L239" s="5"/>
    </row>
    <row r="240" spans="1:12">
      <c r="A240" s="13"/>
      <c r="B240" s="13">
        <v>1685</v>
      </c>
      <c r="C240" s="13">
        <v>93</v>
      </c>
      <c r="D240" s="13"/>
      <c r="E240" s="13">
        <v>495</v>
      </c>
      <c r="F240" s="13">
        <v>71</v>
      </c>
      <c r="G240" s="13"/>
      <c r="H240" s="13"/>
      <c r="I240" s="13"/>
      <c r="J240" s="5"/>
      <c r="K240" s="5"/>
      <c r="L240" s="5"/>
    </row>
    <row r="241" spans="1:12">
      <c r="A241" s="13"/>
      <c r="B241" s="13"/>
      <c r="C241" s="13"/>
      <c r="D241" s="13"/>
      <c r="E241" s="13"/>
      <c r="F241" s="13"/>
      <c r="G241" s="13"/>
      <c r="H241" s="13"/>
      <c r="I241" s="13"/>
      <c r="J241" s="5"/>
      <c r="K241" s="5"/>
      <c r="L241" s="5"/>
    </row>
    <row r="242" spans="1:12">
      <c r="A242" s="33" t="s">
        <v>103</v>
      </c>
      <c r="B242" s="32" t="s">
        <v>203</v>
      </c>
      <c r="C242" s="32" t="s">
        <v>350</v>
      </c>
      <c r="D242" s="32" t="s">
        <v>350</v>
      </c>
      <c r="E242" s="32" t="s">
        <v>1357</v>
      </c>
      <c r="F242" s="32"/>
      <c r="G242" s="32"/>
      <c r="H242" s="30">
        <v>6911</v>
      </c>
      <c r="I242" s="32" t="s">
        <v>202</v>
      </c>
      <c r="J242" s="5">
        <f>SUM(B242:H243)</f>
        <v>27286</v>
      </c>
      <c r="K242" s="5"/>
      <c r="L242" s="5"/>
    </row>
    <row r="243" spans="1:12">
      <c r="A243" s="30"/>
      <c r="B243" s="29">
        <v>18452</v>
      </c>
      <c r="C243" s="29">
        <v>1464</v>
      </c>
      <c r="D243" s="29">
        <v>237</v>
      </c>
      <c r="E243" s="29">
        <v>222</v>
      </c>
      <c r="F243" s="29"/>
      <c r="G243" s="33"/>
      <c r="H243" s="30"/>
      <c r="I243" s="30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14" t="s">
        <v>109</v>
      </c>
      <c r="B245" s="12" t="s">
        <v>1358</v>
      </c>
      <c r="C245" s="12"/>
      <c r="D245" s="12"/>
      <c r="E245" s="12" t="s">
        <v>1359</v>
      </c>
      <c r="F245" s="12" t="s">
        <v>1358</v>
      </c>
      <c r="G245" s="15"/>
      <c r="H245" s="13">
        <v>10985</v>
      </c>
      <c r="I245" s="12" t="s">
        <v>1360</v>
      </c>
      <c r="J245" s="5">
        <f>SUM(B245:H246)</f>
        <v>37432</v>
      </c>
      <c r="K245" s="5"/>
      <c r="L245" s="5"/>
    </row>
    <row r="246" spans="1:12">
      <c r="A246" s="13"/>
      <c r="B246" s="15">
        <v>25303</v>
      </c>
      <c r="C246" s="15"/>
      <c r="D246" s="15"/>
      <c r="E246" s="15">
        <v>364</v>
      </c>
      <c r="F246" s="15">
        <v>780</v>
      </c>
      <c r="G246" s="13"/>
      <c r="H246" s="13"/>
      <c r="I246" s="13"/>
      <c r="J246" s="5"/>
      <c r="K246" s="5"/>
      <c r="L246" s="5"/>
    </row>
    <row r="247" spans="1:12">
      <c r="A247" s="13"/>
      <c r="B247" s="13"/>
      <c r="C247" s="13"/>
      <c r="D247" s="13"/>
      <c r="E247" s="13"/>
      <c r="F247" s="13"/>
      <c r="G247" s="13"/>
      <c r="H247" s="13"/>
      <c r="I247" s="13"/>
      <c r="J247" s="5"/>
      <c r="K247" s="5"/>
      <c r="L247" s="5"/>
    </row>
    <row r="248" spans="1:12">
      <c r="A248" s="33" t="s">
        <v>113</v>
      </c>
      <c r="B248" s="32" t="s">
        <v>203</v>
      </c>
      <c r="C248" s="32" t="s">
        <v>1361</v>
      </c>
      <c r="D248" s="32"/>
      <c r="E248" s="32" t="s">
        <v>1011</v>
      </c>
      <c r="F248" s="32"/>
      <c r="G248" s="29"/>
      <c r="H248" s="30">
        <v>7659</v>
      </c>
      <c r="I248" s="12" t="s">
        <v>1169</v>
      </c>
      <c r="J248" s="5">
        <f>SUM(B248:H249)</f>
        <v>33946</v>
      </c>
      <c r="K248" s="5"/>
      <c r="L248" s="5"/>
    </row>
    <row r="249" spans="1:12">
      <c r="A249" s="30"/>
      <c r="B249" s="29">
        <v>20705</v>
      </c>
      <c r="C249" s="29">
        <v>4917</v>
      </c>
      <c r="D249" s="30"/>
      <c r="E249" s="29">
        <v>665</v>
      </c>
      <c r="F249" s="29"/>
      <c r="G249" s="30"/>
      <c r="H249" s="30"/>
      <c r="I249" s="13"/>
      <c r="J249" s="5"/>
      <c r="K249" s="5"/>
      <c r="L249" s="5"/>
    </row>
    <row r="250" spans="1:12">
      <c r="A250" s="13"/>
      <c r="B250" s="13"/>
      <c r="C250" s="13"/>
      <c r="D250" s="13"/>
      <c r="E250" s="13"/>
      <c r="F250" s="13"/>
      <c r="G250" s="13"/>
      <c r="H250" s="13"/>
      <c r="I250" s="13"/>
      <c r="J250" s="5"/>
      <c r="K250" s="5"/>
      <c r="L250" s="5"/>
    </row>
    <row r="251" spans="1:12">
      <c r="A251" s="14" t="s">
        <v>124</v>
      </c>
      <c r="B251" s="12" t="s">
        <v>125</v>
      </c>
      <c r="C251" s="12"/>
      <c r="D251" s="12"/>
      <c r="E251" s="12" t="s">
        <v>1362</v>
      </c>
      <c r="F251" s="12" t="s">
        <v>313</v>
      </c>
      <c r="G251" s="12"/>
      <c r="H251" s="13">
        <v>11171</v>
      </c>
      <c r="I251" s="12" t="s">
        <v>126</v>
      </c>
      <c r="J251" s="5">
        <f>SUM(B251:H252)</f>
        <v>41144</v>
      </c>
      <c r="K251" s="5"/>
      <c r="L251" s="5"/>
    </row>
    <row r="252" spans="1:12">
      <c r="A252" s="13"/>
      <c r="B252" s="15">
        <v>27440</v>
      </c>
      <c r="C252" s="15"/>
      <c r="D252" s="15"/>
      <c r="E252" s="15">
        <v>1271</v>
      </c>
      <c r="F252" s="15">
        <v>1262</v>
      </c>
      <c r="G252" s="15"/>
      <c r="H252" s="13"/>
      <c r="I252" s="13"/>
      <c r="J252" s="5"/>
      <c r="K252" s="5"/>
      <c r="L252" s="5"/>
    </row>
    <row r="253" spans="1:12">
      <c r="A253" s="13"/>
      <c r="B253" s="13"/>
      <c r="C253" s="13"/>
      <c r="D253" s="13"/>
      <c r="E253" s="13"/>
      <c r="F253" s="13"/>
      <c r="G253" s="13"/>
      <c r="H253" s="13"/>
      <c r="I253" s="13"/>
      <c r="J253" s="5"/>
      <c r="K253" s="5"/>
      <c r="L253" s="5"/>
    </row>
    <row r="254" spans="1:12">
      <c r="A254" s="33" t="s">
        <v>130</v>
      </c>
      <c r="B254" s="32" t="s">
        <v>246</v>
      </c>
      <c r="C254" s="32" t="s">
        <v>1363</v>
      </c>
      <c r="D254" s="31"/>
      <c r="E254" s="32" t="s">
        <v>1363</v>
      </c>
      <c r="F254" s="32" t="s">
        <v>246</v>
      </c>
      <c r="G254" s="29"/>
      <c r="H254" s="30">
        <v>9469</v>
      </c>
      <c r="I254" s="32" t="s">
        <v>247</v>
      </c>
      <c r="J254" s="5">
        <f>SUM(B254:H255)</f>
        <v>45180</v>
      </c>
      <c r="K254" s="5"/>
      <c r="L254" s="5"/>
    </row>
    <row r="255" spans="1:12">
      <c r="A255" s="30"/>
      <c r="B255" s="29">
        <v>28402</v>
      </c>
      <c r="C255" s="29">
        <v>5368</v>
      </c>
      <c r="D255" s="31"/>
      <c r="E255" s="29">
        <v>724</v>
      </c>
      <c r="F255" s="29">
        <v>1217</v>
      </c>
      <c r="G255" s="29"/>
      <c r="H255" s="30"/>
      <c r="I255" s="30"/>
      <c r="J255" s="5"/>
      <c r="K255" s="5"/>
      <c r="L255" s="5"/>
    </row>
    <row r="256" spans="1:12">
      <c r="A256" s="13"/>
      <c r="B256" s="13"/>
      <c r="C256" s="13"/>
      <c r="D256" s="13"/>
      <c r="E256" s="13"/>
      <c r="F256" s="13"/>
      <c r="G256" s="13"/>
      <c r="H256" s="13"/>
      <c r="I256" s="13"/>
      <c r="J256" s="5"/>
      <c r="K256" s="5"/>
      <c r="L256" s="5"/>
    </row>
    <row r="257" spans="1:12">
      <c r="A257" s="14" t="s">
        <v>136</v>
      </c>
      <c r="B257" s="12" t="s">
        <v>204</v>
      </c>
      <c r="C257" s="12" t="s">
        <v>1364</v>
      </c>
      <c r="D257" s="15"/>
      <c r="E257" s="12" t="s">
        <v>1364</v>
      </c>
      <c r="F257" s="12" t="s">
        <v>204</v>
      </c>
      <c r="G257" s="15"/>
      <c r="H257" s="13">
        <v>7238</v>
      </c>
      <c r="I257" s="12" t="s">
        <v>205</v>
      </c>
      <c r="J257" s="5">
        <f>SUM(B257:H258)</f>
        <v>38731</v>
      </c>
      <c r="K257" s="5"/>
      <c r="L257" s="5"/>
    </row>
    <row r="258" spans="1:12">
      <c r="A258" s="13"/>
      <c r="B258" s="15">
        <v>30120</v>
      </c>
      <c r="C258" s="15">
        <v>821</v>
      </c>
      <c r="D258" s="15"/>
      <c r="E258" s="15">
        <v>88</v>
      </c>
      <c r="F258" s="15">
        <v>464</v>
      </c>
      <c r="G258" s="15"/>
      <c r="H258" s="13"/>
      <c r="I258" s="13"/>
      <c r="J258" s="5"/>
      <c r="K258" s="5"/>
      <c r="L258" s="5"/>
    </row>
    <row r="259" spans="1:12">
      <c r="A259" s="13"/>
      <c r="B259" s="13"/>
      <c r="C259" s="13"/>
      <c r="D259" s="13"/>
      <c r="E259" s="13"/>
      <c r="F259" s="13"/>
      <c r="G259" s="13"/>
      <c r="H259" s="13"/>
      <c r="I259" s="13"/>
      <c r="J259" s="5"/>
      <c r="K259" s="5"/>
      <c r="L259" s="5"/>
    </row>
    <row r="260" spans="1:12">
      <c r="A260" s="33" t="s">
        <v>140</v>
      </c>
      <c r="B260" s="29" t="s">
        <v>229</v>
      </c>
      <c r="C260" s="32"/>
      <c r="D260" s="29"/>
      <c r="E260" s="32" t="s">
        <v>1365</v>
      </c>
      <c r="F260" s="32"/>
      <c r="G260" s="29"/>
      <c r="H260" s="30">
        <v>10241</v>
      </c>
      <c r="I260" s="32" t="s">
        <v>88</v>
      </c>
      <c r="J260" s="5">
        <f>SUM(B260:H261)</f>
        <v>33087</v>
      </c>
      <c r="K260" s="5"/>
      <c r="L260" s="5"/>
    </row>
    <row r="261" spans="1:12">
      <c r="A261" s="30"/>
      <c r="B261" s="29">
        <v>22575</v>
      </c>
      <c r="C261" s="29"/>
      <c r="D261" s="30"/>
      <c r="E261" s="30">
        <v>271</v>
      </c>
      <c r="F261" s="30"/>
      <c r="G261" s="29"/>
      <c r="H261" s="30"/>
      <c r="I261" s="30"/>
      <c r="J261" s="5"/>
      <c r="K261" s="5"/>
      <c r="L261" s="5"/>
    </row>
    <row r="262" spans="1:12">
      <c r="A262" s="13"/>
      <c r="B262" s="13"/>
      <c r="C262" s="13"/>
      <c r="D262" s="13"/>
      <c r="E262" s="13"/>
      <c r="F262" s="13"/>
      <c r="G262" s="13"/>
      <c r="H262" s="13"/>
      <c r="I262" s="13"/>
      <c r="J262" s="5"/>
      <c r="K262" s="5"/>
      <c r="L262" s="5"/>
    </row>
    <row r="263" spans="1:12">
      <c r="A263" s="14" t="s">
        <v>144</v>
      </c>
      <c r="B263" s="15" t="s">
        <v>1366</v>
      </c>
      <c r="C263" s="12" t="s">
        <v>1367</v>
      </c>
      <c r="D263" s="15"/>
      <c r="E263" s="12" t="s">
        <v>1368</v>
      </c>
      <c r="F263" s="12" t="s">
        <v>1366</v>
      </c>
      <c r="G263" s="15"/>
      <c r="H263" s="13">
        <v>7151</v>
      </c>
      <c r="I263" s="12" t="s">
        <v>1369</v>
      </c>
      <c r="J263" s="5">
        <f>SUM(B263:H264)</f>
        <v>31633</v>
      </c>
      <c r="K263" s="5"/>
      <c r="L263" s="5"/>
    </row>
    <row r="264" spans="1:12">
      <c r="A264" s="13"/>
      <c r="B264" s="15">
        <v>22668</v>
      </c>
      <c r="C264" s="13">
        <v>867</v>
      </c>
      <c r="D264" s="15"/>
      <c r="E264" s="13">
        <v>192</v>
      </c>
      <c r="F264" s="13">
        <v>755</v>
      </c>
      <c r="G264" s="13"/>
      <c r="H264" s="13"/>
      <c r="I264" s="13"/>
      <c r="J264" s="5"/>
      <c r="K264" s="5"/>
      <c r="L264" s="5"/>
    </row>
    <row r="265" spans="1:12">
      <c r="A265" s="13"/>
      <c r="B265" s="13"/>
      <c r="C265" s="13"/>
      <c r="D265" s="13"/>
      <c r="E265" s="13"/>
      <c r="F265" s="13"/>
      <c r="G265" s="13"/>
      <c r="H265" s="13"/>
      <c r="I265" s="13"/>
      <c r="J265" s="5"/>
      <c r="K265" s="5"/>
      <c r="L265" s="5"/>
    </row>
    <row r="266" spans="1:12" ht="17.25">
      <c r="A266" s="14" t="s">
        <v>1436</v>
      </c>
      <c r="B266" s="15" t="s">
        <v>281</v>
      </c>
      <c r="C266" s="15" t="s">
        <v>1171</v>
      </c>
      <c r="D266" s="15"/>
      <c r="E266" s="15"/>
      <c r="F266" s="15" t="s">
        <v>281</v>
      </c>
      <c r="G266" s="15"/>
      <c r="H266" s="15">
        <v>20</v>
      </c>
      <c r="I266" s="15" t="s">
        <v>1370</v>
      </c>
      <c r="J266" s="10">
        <f>SUM(B266:H267)</f>
        <v>1457</v>
      </c>
      <c r="K266" s="5"/>
      <c r="L266" s="5"/>
    </row>
    <row r="267" spans="1:12">
      <c r="A267" s="13"/>
      <c r="B267" s="13">
        <v>1277</v>
      </c>
      <c r="C267" s="13">
        <v>106</v>
      </c>
      <c r="D267" s="13"/>
      <c r="E267" s="13"/>
      <c r="F267" s="13">
        <v>54</v>
      </c>
      <c r="G267" s="13"/>
      <c r="H267" s="13"/>
      <c r="I267" s="13"/>
      <c r="J267" s="5"/>
      <c r="K267" s="5"/>
      <c r="L267" s="5"/>
    </row>
    <row r="268" spans="1:12">
      <c r="A268" s="13"/>
      <c r="B268" s="13"/>
      <c r="C268" s="13"/>
      <c r="D268" s="13"/>
      <c r="E268" s="13"/>
      <c r="F268" s="13"/>
      <c r="G268" s="13"/>
      <c r="H268" s="13"/>
      <c r="I268" s="13"/>
      <c r="J268" s="5"/>
      <c r="K268" s="5"/>
      <c r="L268" s="5"/>
    </row>
    <row r="269" spans="1:12">
      <c r="A269" s="33" t="s">
        <v>148</v>
      </c>
      <c r="B269" s="29" t="s">
        <v>1015</v>
      </c>
      <c r="C269" s="32" t="s">
        <v>1080</v>
      </c>
      <c r="D269" s="31"/>
      <c r="E269" s="29" t="s">
        <v>1080</v>
      </c>
      <c r="F269" s="29"/>
      <c r="G269" s="29"/>
      <c r="H269" s="30">
        <v>7495</v>
      </c>
      <c r="I269" s="32" t="s">
        <v>1018</v>
      </c>
      <c r="J269" s="5">
        <f>SUM(B269:H270)</f>
        <v>26653</v>
      </c>
      <c r="K269" s="5"/>
      <c r="L269" s="5"/>
    </row>
    <row r="270" spans="1:12">
      <c r="A270" s="30"/>
      <c r="B270" s="29">
        <v>18248</v>
      </c>
      <c r="C270" s="30">
        <v>762</v>
      </c>
      <c r="D270" s="31"/>
      <c r="E270" s="30">
        <v>148</v>
      </c>
      <c r="F270" s="30"/>
      <c r="G270" s="30"/>
      <c r="H270" s="30"/>
      <c r="I270" s="30"/>
      <c r="J270" s="5"/>
      <c r="K270" s="5"/>
      <c r="L270" s="5"/>
    </row>
    <row r="271" spans="1:12">
      <c r="A271" s="13"/>
      <c r="B271" s="13"/>
      <c r="C271" s="13"/>
      <c r="D271" s="13"/>
      <c r="E271" s="13"/>
      <c r="F271" s="13"/>
      <c r="G271" s="13"/>
      <c r="H271" s="13"/>
      <c r="I271" s="13"/>
      <c r="J271" s="5"/>
      <c r="K271" s="5"/>
      <c r="L271" s="5"/>
    </row>
    <row r="272" spans="1:12">
      <c r="A272" s="14" t="s">
        <v>153</v>
      </c>
      <c r="B272" s="15" t="s">
        <v>189</v>
      </c>
      <c r="C272" s="12"/>
      <c r="D272" s="12" t="s">
        <v>189</v>
      </c>
      <c r="E272" s="15" t="s">
        <v>1371</v>
      </c>
      <c r="F272" s="15" t="s">
        <v>1445</v>
      </c>
      <c r="G272" s="15"/>
      <c r="H272" s="13">
        <v>10569</v>
      </c>
      <c r="I272" s="12" t="s">
        <v>433</v>
      </c>
      <c r="J272" s="5">
        <f>SUM(B272:H273)</f>
        <v>43099</v>
      </c>
      <c r="K272" s="5"/>
      <c r="L272" s="5"/>
    </row>
    <row r="273" spans="1:12">
      <c r="A273" s="13"/>
      <c r="B273" s="15">
        <v>29605</v>
      </c>
      <c r="C273" s="15"/>
      <c r="D273" s="15">
        <v>812</v>
      </c>
      <c r="E273" s="13">
        <v>1212</v>
      </c>
      <c r="F273" s="13">
        <v>901</v>
      </c>
      <c r="G273" s="13"/>
      <c r="H273" s="13"/>
      <c r="I273" s="13"/>
      <c r="J273" s="5"/>
      <c r="K273" s="5"/>
      <c r="L273" s="5"/>
    </row>
    <row r="274" spans="1:12">
      <c r="A274" s="13"/>
      <c r="B274" s="13"/>
      <c r="C274" s="13"/>
      <c r="D274" s="13"/>
      <c r="E274" s="13"/>
      <c r="F274" s="13"/>
      <c r="G274" s="13"/>
      <c r="H274" s="13"/>
      <c r="I274" s="13"/>
      <c r="J274" s="5"/>
      <c r="K274" s="5"/>
      <c r="L274" s="5"/>
    </row>
    <row r="275" spans="1:12">
      <c r="A275" s="33" t="s">
        <v>161</v>
      </c>
      <c r="B275" s="29" t="s">
        <v>206</v>
      </c>
      <c r="C275" s="32" t="s">
        <v>1372</v>
      </c>
      <c r="D275" s="32" t="s">
        <v>206</v>
      </c>
      <c r="E275" s="29" t="s">
        <v>1372</v>
      </c>
      <c r="F275" s="29" t="s">
        <v>206</v>
      </c>
      <c r="G275" s="29"/>
      <c r="H275" s="30">
        <v>8551</v>
      </c>
      <c r="I275" s="32" t="s">
        <v>207</v>
      </c>
      <c r="J275" s="5">
        <f>SUM(B275:H276)</f>
        <v>59359</v>
      </c>
      <c r="K275" s="5"/>
      <c r="L275" s="5"/>
    </row>
    <row r="276" spans="1:12">
      <c r="A276" s="30"/>
      <c r="B276" s="29">
        <v>32601</v>
      </c>
      <c r="C276" s="29">
        <v>14424</v>
      </c>
      <c r="D276" s="29">
        <v>1556</v>
      </c>
      <c r="E276" s="30">
        <v>1231</v>
      </c>
      <c r="F276" s="30">
        <v>996</v>
      </c>
      <c r="G276" s="30"/>
      <c r="H276" s="30"/>
      <c r="I276" s="30"/>
      <c r="J276" s="5"/>
      <c r="K276" s="5"/>
      <c r="L276" s="5"/>
    </row>
    <row r="277" spans="1:12">
      <c r="A277" s="13"/>
      <c r="B277" s="13"/>
      <c r="C277" s="13"/>
      <c r="D277" s="13"/>
      <c r="E277" s="13"/>
      <c r="F277" s="13"/>
      <c r="G277" s="13"/>
      <c r="H277" s="13"/>
      <c r="I277" s="13"/>
      <c r="J277" s="5"/>
      <c r="K277" s="5"/>
      <c r="L277" s="5"/>
    </row>
    <row r="278" spans="1:12">
      <c r="A278" s="14" t="s">
        <v>167</v>
      </c>
      <c r="B278" s="15" t="s">
        <v>1373</v>
      </c>
      <c r="C278" s="15"/>
      <c r="D278" s="15" t="s">
        <v>1373</v>
      </c>
      <c r="E278" s="5"/>
      <c r="F278" s="10" t="s">
        <v>1373</v>
      </c>
      <c r="G278" s="15"/>
      <c r="H278" s="13">
        <v>25369</v>
      </c>
      <c r="I278" s="12" t="s">
        <v>1374</v>
      </c>
      <c r="J278" s="5">
        <f>SUM(B278:H279)</f>
        <v>65607</v>
      </c>
      <c r="K278" s="5"/>
      <c r="L278" s="5"/>
    </row>
    <row r="279" spans="1:12">
      <c r="A279" s="13"/>
      <c r="B279" s="15">
        <v>34167</v>
      </c>
      <c r="C279" s="15"/>
      <c r="D279" s="13">
        <v>4511</v>
      </c>
      <c r="E279" s="5"/>
      <c r="F279" s="5">
        <v>1560</v>
      </c>
      <c r="G279" s="13"/>
      <c r="H279" s="13"/>
      <c r="I279" s="13"/>
      <c r="J279" s="5"/>
      <c r="K279" s="5"/>
      <c r="L279" s="5"/>
    </row>
    <row r="280" spans="1:12">
      <c r="A280" s="13"/>
      <c r="B280" s="13"/>
      <c r="C280" s="13"/>
      <c r="D280" s="13"/>
      <c r="E280" s="13"/>
      <c r="F280" s="13"/>
      <c r="G280" s="13"/>
      <c r="H280" s="13"/>
      <c r="I280" s="13"/>
      <c r="J280" s="5"/>
      <c r="K280" s="5"/>
      <c r="L280" s="5"/>
    </row>
    <row r="281" spans="1:12">
      <c r="A281" s="33" t="s">
        <v>172</v>
      </c>
      <c r="B281" s="29" t="s">
        <v>230</v>
      </c>
      <c r="C281" s="32" t="s">
        <v>1178</v>
      </c>
      <c r="D281" s="29" t="s">
        <v>230</v>
      </c>
      <c r="E281" s="36" t="s">
        <v>1178</v>
      </c>
      <c r="F281" s="36" t="s">
        <v>1446</v>
      </c>
      <c r="G281" s="29"/>
      <c r="H281" s="30">
        <v>8706</v>
      </c>
      <c r="I281" s="32" t="s">
        <v>173</v>
      </c>
      <c r="J281" s="5">
        <f>SUM(B281:H282)</f>
        <v>62005</v>
      </c>
      <c r="K281" s="5"/>
      <c r="L281" s="5"/>
    </row>
    <row r="282" spans="1:12">
      <c r="A282" s="30"/>
      <c r="B282" s="29">
        <v>32705</v>
      </c>
      <c r="C282" s="29">
        <v>14447</v>
      </c>
      <c r="D282" s="30">
        <v>3147</v>
      </c>
      <c r="E282" s="31">
        <v>1803</v>
      </c>
      <c r="F282" s="31">
        <v>1197</v>
      </c>
      <c r="G282" s="30"/>
      <c r="H282" s="30"/>
      <c r="I282" s="30"/>
      <c r="J282" s="5"/>
      <c r="K282" s="5"/>
      <c r="L282" s="5"/>
    </row>
    <row r="283" spans="1:12">
      <c r="A283" s="13"/>
      <c r="B283" s="13"/>
      <c r="C283" s="13"/>
      <c r="D283" s="13"/>
      <c r="E283" s="13"/>
      <c r="F283" s="13"/>
      <c r="G283" s="13"/>
      <c r="H283" s="13"/>
      <c r="I283" s="13"/>
      <c r="J283" s="5"/>
      <c r="K283" s="5"/>
      <c r="L283" s="5"/>
    </row>
    <row r="284" spans="1:12">
      <c r="A284" s="14" t="s">
        <v>177</v>
      </c>
      <c r="B284" s="15" t="s">
        <v>1179</v>
      </c>
      <c r="C284" s="12" t="s">
        <v>1375</v>
      </c>
      <c r="D284" s="12" t="s">
        <v>1179</v>
      </c>
      <c r="E284" s="12" t="s">
        <v>1375</v>
      </c>
      <c r="F284" s="12" t="s">
        <v>1179</v>
      </c>
      <c r="G284" s="15"/>
      <c r="H284" s="13">
        <v>7531</v>
      </c>
      <c r="I284" s="12" t="s">
        <v>1180</v>
      </c>
      <c r="J284" s="5">
        <f>SUM(B284:H285)</f>
        <v>52233</v>
      </c>
      <c r="K284" s="5"/>
      <c r="L284" s="5"/>
    </row>
    <row r="285" spans="1:12">
      <c r="A285" s="13"/>
      <c r="B285" s="13">
        <v>29105</v>
      </c>
      <c r="C285" s="14">
        <v>11850</v>
      </c>
      <c r="D285" s="13">
        <v>1754</v>
      </c>
      <c r="E285" s="13">
        <v>966</v>
      </c>
      <c r="F285" s="13">
        <v>1027</v>
      </c>
      <c r="G285" s="13"/>
      <c r="H285" s="13"/>
      <c r="I285" s="5"/>
      <c r="J285" s="5"/>
      <c r="K285" s="5"/>
      <c r="L285" s="5"/>
    </row>
    <row r="286" spans="1:12">
      <c r="A286" s="13"/>
      <c r="B286" s="13"/>
      <c r="C286" s="14"/>
      <c r="D286" s="13"/>
      <c r="E286" s="13"/>
      <c r="F286" s="13"/>
      <c r="G286" s="13"/>
      <c r="H286" s="13"/>
      <c r="I286" s="5"/>
      <c r="J286" s="5"/>
      <c r="K286" s="5"/>
      <c r="L286" s="5"/>
    </row>
    <row r="287" spans="1:12">
      <c r="A287" s="33" t="s">
        <v>6</v>
      </c>
      <c r="B287" s="29" t="s">
        <v>1376</v>
      </c>
      <c r="C287" s="32"/>
      <c r="D287" s="29"/>
      <c r="E287" s="36"/>
      <c r="F287" s="36" t="s">
        <v>1376</v>
      </c>
      <c r="G287" s="29"/>
      <c r="H287" s="30">
        <v>24684</v>
      </c>
      <c r="I287" s="32" t="s">
        <v>1377</v>
      </c>
      <c r="J287" s="5">
        <f>SUM(B287:H288)</f>
        <v>66308</v>
      </c>
      <c r="K287" s="5"/>
      <c r="L287" s="5"/>
    </row>
    <row r="288" spans="1:12">
      <c r="A288" s="30"/>
      <c r="B288" s="30">
        <v>38866</v>
      </c>
      <c r="C288" s="30"/>
      <c r="D288" s="30"/>
      <c r="E288" s="31"/>
      <c r="F288" s="31">
        <v>2758</v>
      </c>
      <c r="G288" s="30"/>
      <c r="H288" s="30"/>
      <c r="I288" s="30"/>
      <c r="J288" s="5"/>
      <c r="K288" s="5"/>
      <c r="L288" s="5"/>
    </row>
    <row r="289" spans="1:12">
      <c r="A289" s="13"/>
      <c r="B289" s="13"/>
      <c r="C289" s="13"/>
      <c r="D289" s="13"/>
      <c r="E289" s="13"/>
      <c r="F289" s="13"/>
      <c r="G289" s="13"/>
      <c r="H289" s="5"/>
      <c r="I289" s="13"/>
      <c r="J289" s="5"/>
      <c r="K289" s="5"/>
      <c r="L289" s="5"/>
    </row>
    <row r="290" spans="1:12">
      <c r="A290" s="14" t="s">
        <v>13</v>
      </c>
      <c r="B290" s="15" t="s">
        <v>1182</v>
      </c>
      <c r="C290" s="15" t="s">
        <v>1378</v>
      </c>
      <c r="D290" s="15" t="s">
        <v>1378</v>
      </c>
      <c r="E290" s="15" t="s">
        <v>1182</v>
      </c>
      <c r="F290" s="15" t="s">
        <v>1182</v>
      </c>
      <c r="G290" s="15"/>
      <c r="H290" s="13">
        <v>7876</v>
      </c>
      <c r="I290" s="12" t="s">
        <v>1185</v>
      </c>
      <c r="J290" s="5">
        <f>SUM(B290:H291)</f>
        <v>53569</v>
      </c>
      <c r="K290" s="5"/>
      <c r="L290" s="5"/>
    </row>
    <row r="291" spans="1:12">
      <c r="A291" s="13"/>
      <c r="B291" s="13">
        <v>29293</v>
      </c>
      <c r="C291" s="13">
        <v>11008</v>
      </c>
      <c r="D291" s="13">
        <v>1035</v>
      </c>
      <c r="E291" s="13">
        <v>2818</v>
      </c>
      <c r="F291" s="13">
        <v>1539</v>
      </c>
      <c r="G291" s="13"/>
      <c r="H291" s="13"/>
      <c r="I291" s="13"/>
      <c r="J291" s="5"/>
      <c r="K291" s="5"/>
      <c r="L291" s="5"/>
    </row>
    <row r="292" spans="1:12">
      <c r="A292" s="13"/>
      <c r="B292" s="13"/>
      <c r="C292" s="13"/>
      <c r="D292" s="13"/>
      <c r="E292" s="13"/>
      <c r="F292" s="13"/>
      <c r="G292" s="13"/>
      <c r="H292" s="13"/>
      <c r="I292" s="13"/>
      <c r="J292" s="5"/>
      <c r="K292" s="5"/>
      <c r="L292" s="5"/>
    </row>
    <row r="293" spans="1:12">
      <c r="A293" s="33" t="s">
        <v>22</v>
      </c>
      <c r="B293" s="29" t="s">
        <v>248</v>
      </c>
      <c r="C293" s="29"/>
      <c r="D293" s="29" t="s">
        <v>248</v>
      </c>
      <c r="E293" s="29" t="s">
        <v>248</v>
      </c>
      <c r="F293" s="29" t="s">
        <v>248</v>
      </c>
      <c r="G293" s="29"/>
      <c r="H293" s="30">
        <v>21209</v>
      </c>
      <c r="I293" s="32" t="s">
        <v>283</v>
      </c>
      <c r="J293" s="5">
        <f>SUM(B293:H294)</f>
        <v>64436</v>
      </c>
      <c r="K293" s="5"/>
      <c r="L293" s="5"/>
    </row>
    <row r="294" spans="1:12">
      <c r="A294" s="30"/>
      <c r="B294" s="30">
        <v>32158</v>
      </c>
      <c r="C294" s="30"/>
      <c r="D294" s="30">
        <v>5522</v>
      </c>
      <c r="E294" s="30">
        <v>3985</v>
      </c>
      <c r="F294" s="30">
        <v>1562</v>
      </c>
      <c r="G294" s="30"/>
      <c r="H294" s="30"/>
      <c r="I294" s="30"/>
      <c r="J294" s="5"/>
      <c r="K294" s="5"/>
      <c r="L294" s="5"/>
    </row>
    <row r="295" spans="1:12">
      <c r="A295" s="13"/>
      <c r="B295" s="13"/>
      <c r="C295" s="13"/>
      <c r="D295" s="13"/>
      <c r="E295" s="13"/>
      <c r="F295" s="13"/>
      <c r="G295" s="13"/>
      <c r="H295" s="13"/>
      <c r="I295" s="13"/>
      <c r="J295" s="5"/>
      <c r="K295" s="5"/>
      <c r="L295" s="5"/>
    </row>
    <row r="296" spans="1:12">
      <c r="A296" s="14" t="s">
        <v>28</v>
      </c>
      <c r="B296" s="15" t="s">
        <v>267</v>
      </c>
      <c r="C296" s="12"/>
      <c r="D296" s="12" t="s">
        <v>267</v>
      </c>
      <c r="E296" s="15"/>
      <c r="F296" s="15" t="s">
        <v>267</v>
      </c>
      <c r="G296" s="15"/>
      <c r="H296" s="13">
        <v>22006</v>
      </c>
      <c r="I296" s="12" t="s">
        <v>268</v>
      </c>
      <c r="J296" s="5">
        <f>SUM(B296:H297)</f>
        <v>54856</v>
      </c>
      <c r="K296" s="5"/>
      <c r="L296" s="5"/>
    </row>
    <row r="297" spans="1:12">
      <c r="A297" s="13"/>
      <c r="B297" s="13">
        <v>26411</v>
      </c>
      <c r="C297" s="13"/>
      <c r="D297" s="13">
        <v>4983</v>
      </c>
      <c r="E297" s="13"/>
      <c r="F297" s="13">
        <v>1456</v>
      </c>
      <c r="G297" s="13"/>
      <c r="H297" s="13"/>
      <c r="I297" s="13"/>
      <c r="J297" s="5"/>
      <c r="K297" s="5"/>
      <c r="L297" s="5"/>
    </row>
    <row r="298" spans="1:12">
      <c r="A298" s="13"/>
      <c r="B298" s="13"/>
      <c r="C298" s="13"/>
      <c r="D298" s="13"/>
      <c r="E298" s="13"/>
      <c r="F298" s="13"/>
      <c r="G298" s="13"/>
      <c r="H298" s="13"/>
      <c r="I298" s="13"/>
      <c r="J298" s="5"/>
      <c r="K298" s="5"/>
      <c r="L298" s="5"/>
    </row>
    <row r="299" spans="1:12">
      <c r="A299" s="33" t="s">
        <v>32</v>
      </c>
      <c r="B299" s="29" t="s">
        <v>1379</v>
      </c>
      <c r="C299" s="32" t="s">
        <v>438</v>
      </c>
      <c r="D299" s="36"/>
      <c r="E299" s="32" t="s">
        <v>438</v>
      </c>
      <c r="F299" s="32" t="s">
        <v>1379</v>
      </c>
      <c r="G299" s="29"/>
      <c r="H299" s="30">
        <v>8092</v>
      </c>
      <c r="I299" s="32" t="s">
        <v>1190</v>
      </c>
      <c r="J299" s="5">
        <f>SUM(B299:H300)</f>
        <v>63243</v>
      </c>
      <c r="K299" s="5"/>
      <c r="L299" s="5"/>
    </row>
    <row r="300" spans="1:12">
      <c r="A300" s="30"/>
      <c r="B300" s="30">
        <v>23819</v>
      </c>
      <c r="C300" s="30">
        <v>26419</v>
      </c>
      <c r="D300" s="30"/>
      <c r="E300" s="30">
        <v>3058</v>
      </c>
      <c r="F300" s="30">
        <v>1855</v>
      </c>
      <c r="G300" s="30"/>
      <c r="H300" s="30"/>
      <c r="I300" s="30" t="s">
        <v>33</v>
      </c>
      <c r="J300" s="5"/>
      <c r="K300" s="5"/>
      <c r="L300" s="5"/>
    </row>
    <row r="301" spans="1:12">
      <c r="A301" s="13"/>
      <c r="B301" s="13"/>
      <c r="C301" s="13"/>
      <c r="D301" s="13"/>
      <c r="E301" s="13"/>
      <c r="F301" s="13"/>
      <c r="G301" s="13"/>
      <c r="H301" s="13"/>
      <c r="I301" s="13"/>
      <c r="J301" s="5"/>
      <c r="K301" s="5"/>
      <c r="L301" s="5"/>
    </row>
    <row r="302" spans="1:12">
      <c r="A302" s="14" t="s">
        <v>39</v>
      </c>
      <c r="B302" s="15" t="s">
        <v>1380</v>
      </c>
      <c r="C302" s="12" t="s">
        <v>1029</v>
      </c>
      <c r="D302" s="12" t="s">
        <v>1029</v>
      </c>
      <c r="E302" s="15" t="s">
        <v>1029</v>
      </c>
      <c r="F302" s="15"/>
      <c r="G302" s="15"/>
      <c r="H302" s="13">
        <v>8582</v>
      </c>
      <c r="I302" s="12" t="s">
        <v>1030</v>
      </c>
      <c r="J302" s="5">
        <f>SUM(B302:H303)</f>
        <v>61100</v>
      </c>
      <c r="K302" s="5"/>
      <c r="L302" s="5"/>
    </row>
    <row r="303" spans="1:12">
      <c r="A303" s="13"/>
      <c r="B303" s="13">
        <v>20118</v>
      </c>
      <c r="C303" s="13">
        <v>24585</v>
      </c>
      <c r="D303" s="13">
        <v>5351</v>
      </c>
      <c r="E303" s="13">
        <v>2464</v>
      </c>
      <c r="F303" s="13"/>
      <c r="G303" s="13"/>
      <c r="H303" s="13"/>
      <c r="I303" s="13"/>
      <c r="J303" s="5"/>
      <c r="K303" s="5"/>
      <c r="L303" s="5"/>
    </row>
    <row r="304" spans="1:12">
      <c r="A304" s="13"/>
      <c r="B304" s="13"/>
      <c r="C304" s="13"/>
      <c r="D304" s="13"/>
      <c r="E304" s="13"/>
      <c r="F304" s="13"/>
      <c r="G304" s="13"/>
      <c r="H304" s="13"/>
      <c r="I304" s="13"/>
      <c r="J304" s="5"/>
      <c r="K304" s="5"/>
      <c r="L304" s="5"/>
    </row>
    <row r="305" spans="1:12">
      <c r="A305" s="33" t="s">
        <v>48</v>
      </c>
      <c r="B305" s="29" t="s">
        <v>241</v>
      </c>
      <c r="C305" s="32"/>
      <c r="D305" s="29" t="s">
        <v>241</v>
      </c>
      <c r="E305" s="29" t="s">
        <v>241</v>
      </c>
      <c r="F305" s="29"/>
      <c r="G305" s="29"/>
      <c r="H305" s="30">
        <v>19061</v>
      </c>
      <c r="I305" s="32" t="s">
        <v>242</v>
      </c>
      <c r="J305" s="5">
        <f>SUM(B305:H306)</f>
        <v>54691</v>
      </c>
      <c r="K305" s="5"/>
      <c r="L305" s="5"/>
    </row>
    <row r="306" spans="1:12">
      <c r="A306" s="30"/>
      <c r="B306" s="30">
        <v>28851</v>
      </c>
      <c r="C306" s="30"/>
      <c r="D306" s="30">
        <v>3899</v>
      </c>
      <c r="E306" s="30">
        <v>2880</v>
      </c>
      <c r="F306" s="30"/>
      <c r="G306" s="30"/>
      <c r="H306" s="30"/>
      <c r="I306" s="30"/>
      <c r="J306" s="5"/>
      <c r="K306" s="5"/>
      <c r="L306" s="5"/>
    </row>
    <row r="307" spans="1:12">
      <c r="A307" s="13"/>
      <c r="B307" s="13"/>
      <c r="C307" s="13"/>
      <c r="D307" s="13"/>
      <c r="E307" s="13"/>
      <c r="F307" s="13"/>
      <c r="G307" s="13"/>
      <c r="H307" s="13"/>
      <c r="I307" s="13"/>
      <c r="J307" s="5"/>
      <c r="K307" s="5"/>
      <c r="L307" s="5"/>
    </row>
    <row r="308" spans="1:12">
      <c r="A308" s="14" t="s">
        <v>56</v>
      </c>
      <c r="B308" s="15" t="s">
        <v>1381</v>
      </c>
      <c r="C308" s="12" t="s">
        <v>1382</v>
      </c>
      <c r="D308" s="12" t="s">
        <v>1382</v>
      </c>
      <c r="E308" s="12" t="s">
        <v>1382</v>
      </c>
      <c r="F308" s="12" t="s">
        <v>1381</v>
      </c>
      <c r="G308" s="15"/>
      <c r="H308" s="13">
        <v>9065</v>
      </c>
      <c r="I308" s="12" t="s">
        <v>1383</v>
      </c>
      <c r="J308" s="5">
        <f>SUM(B308:H309)</f>
        <v>66762</v>
      </c>
      <c r="K308" s="5"/>
      <c r="L308" s="5"/>
    </row>
    <row r="309" spans="1:12">
      <c r="A309" s="13"/>
      <c r="B309" s="13">
        <v>22630</v>
      </c>
      <c r="C309" s="13">
        <v>27264</v>
      </c>
      <c r="D309" s="13">
        <v>3212</v>
      </c>
      <c r="E309" s="13">
        <v>2847</v>
      </c>
      <c r="F309" s="13">
        <v>1744</v>
      </c>
      <c r="G309" s="13"/>
      <c r="H309" s="13"/>
      <c r="I309" s="13"/>
      <c r="J309" s="5"/>
      <c r="K309" s="5"/>
      <c r="L309" s="5"/>
    </row>
    <row r="310" spans="1:12">
      <c r="A310" s="13"/>
      <c r="B310" s="13"/>
      <c r="C310" s="13"/>
      <c r="D310" s="13"/>
      <c r="E310" s="13"/>
      <c r="F310" s="13"/>
      <c r="G310" s="13"/>
      <c r="H310" s="13"/>
      <c r="I310" s="13"/>
      <c r="J310" s="5"/>
      <c r="K310" s="5"/>
      <c r="L310" s="5"/>
    </row>
    <row r="311" spans="1:12">
      <c r="A311" s="33" t="s">
        <v>1384</v>
      </c>
      <c r="B311" s="29" t="s">
        <v>277</v>
      </c>
      <c r="C311" s="32" t="s">
        <v>1195</v>
      </c>
      <c r="D311" s="32" t="s">
        <v>1195</v>
      </c>
      <c r="E311" s="29" t="s">
        <v>1195</v>
      </c>
      <c r="F311" s="29" t="s">
        <v>277</v>
      </c>
      <c r="G311" s="29"/>
      <c r="H311" s="30">
        <v>8351</v>
      </c>
      <c r="I311" s="32" t="s">
        <v>1035</v>
      </c>
      <c r="J311" s="5">
        <f>SUM(B311:H312)</f>
        <v>52734</v>
      </c>
      <c r="K311" s="5"/>
      <c r="L311" s="5"/>
    </row>
    <row r="312" spans="1:12">
      <c r="A312" s="30"/>
      <c r="B312" s="30">
        <v>21483</v>
      </c>
      <c r="C312" s="30">
        <v>18193</v>
      </c>
      <c r="D312" s="30">
        <v>1915</v>
      </c>
      <c r="E312" s="30">
        <v>1645</v>
      </c>
      <c r="F312" s="30">
        <v>1147</v>
      </c>
      <c r="G312" s="30"/>
      <c r="H312" s="30"/>
      <c r="I312" s="30"/>
      <c r="J312" s="5"/>
      <c r="K312" s="5"/>
      <c r="L312" s="5"/>
    </row>
    <row r="313" spans="1:12">
      <c r="A313" s="13"/>
      <c r="B313" s="13"/>
      <c r="C313" s="13"/>
      <c r="D313" s="13"/>
      <c r="E313" s="13"/>
      <c r="F313" s="13"/>
      <c r="G313" s="13"/>
      <c r="H313" s="13"/>
      <c r="I313" s="13"/>
      <c r="J313" s="5"/>
      <c r="K313" s="5"/>
      <c r="L313" s="5"/>
    </row>
    <row r="314" spans="1:12">
      <c r="A314" s="14" t="s">
        <v>63</v>
      </c>
      <c r="B314" s="15" t="s">
        <v>190</v>
      </c>
      <c r="C314" s="15" t="s">
        <v>1385</v>
      </c>
      <c r="D314" s="15" t="s">
        <v>1385</v>
      </c>
      <c r="E314" s="10" t="s">
        <v>1385</v>
      </c>
      <c r="F314" s="10" t="s">
        <v>190</v>
      </c>
      <c r="G314" s="15"/>
      <c r="H314" s="13">
        <v>7437</v>
      </c>
      <c r="I314" s="12" t="s">
        <v>208</v>
      </c>
      <c r="J314" s="5">
        <f>SUM(B314:H315)</f>
        <v>65838</v>
      </c>
      <c r="K314" s="5"/>
      <c r="L314" s="5"/>
    </row>
    <row r="315" spans="1:12">
      <c r="A315" s="13"/>
      <c r="B315" s="13">
        <v>36564</v>
      </c>
      <c r="C315" s="13">
        <v>14659</v>
      </c>
      <c r="D315" s="13">
        <v>1789</v>
      </c>
      <c r="E315" s="5">
        <v>2055</v>
      </c>
      <c r="F315" s="5">
        <v>3334</v>
      </c>
      <c r="G315" s="13"/>
      <c r="H315" s="13"/>
      <c r="I315" s="13"/>
      <c r="J315" s="5"/>
      <c r="K315" s="5"/>
      <c r="L315" s="5"/>
    </row>
    <row r="316" spans="1:12">
      <c r="A316" s="13"/>
      <c r="B316" s="13"/>
      <c r="C316" s="13"/>
      <c r="D316" s="13"/>
      <c r="E316" s="13"/>
      <c r="F316" s="13"/>
      <c r="G316" s="13"/>
      <c r="H316" s="13"/>
      <c r="I316" s="13"/>
      <c r="J316" s="5"/>
      <c r="K316" s="5"/>
      <c r="L316" s="5"/>
    </row>
    <row r="317" spans="1:12">
      <c r="A317" s="33" t="s">
        <v>70</v>
      </c>
      <c r="B317" s="29" t="s">
        <v>587</v>
      </c>
      <c r="C317" s="32" t="s">
        <v>231</v>
      </c>
      <c r="D317" s="32" t="s">
        <v>231</v>
      </c>
      <c r="E317" s="32" t="s">
        <v>231</v>
      </c>
      <c r="F317" s="32" t="s">
        <v>587</v>
      </c>
      <c r="G317" s="29"/>
      <c r="H317" s="30">
        <v>7696</v>
      </c>
      <c r="I317" s="32" t="s">
        <v>1199</v>
      </c>
      <c r="J317" s="5">
        <f>SUM(B317:H318)</f>
        <v>61876</v>
      </c>
      <c r="K317" s="5"/>
      <c r="L317" s="5"/>
    </row>
    <row r="318" spans="1:12">
      <c r="A318" s="30"/>
      <c r="B318" s="30">
        <v>23714</v>
      </c>
      <c r="C318" s="30">
        <v>24184</v>
      </c>
      <c r="D318" s="30">
        <v>2253</v>
      </c>
      <c r="E318" s="30">
        <v>2412</v>
      </c>
      <c r="F318" s="30">
        <v>1617</v>
      </c>
      <c r="G318" s="30"/>
      <c r="H318" s="30"/>
      <c r="I318" s="30"/>
      <c r="J318" s="5"/>
      <c r="K318" s="5"/>
      <c r="L318" s="5"/>
    </row>
    <row r="319" spans="1:12">
      <c r="A319" s="13"/>
      <c r="B319" s="13"/>
      <c r="C319" s="13"/>
      <c r="D319" s="13"/>
      <c r="E319" s="13"/>
      <c r="F319" s="13"/>
      <c r="G319" s="13"/>
      <c r="H319" s="13"/>
      <c r="I319" s="13"/>
      <c r="J319" s="5"/>
      <c r="K319" s="5"/>
      <c r="L319" s="5"/>
    </row>
    <row r="320" spans="1:12">
      <c r="A320" s="14" t="s">
        <v>78</v>
      </c>
      <c r="B320" s="15" t="s">
        <v>1386</v>
      </c>
      <c r="C320" s="12" t="s">
        <v>1201</v>
      </c>
      <c r="D320" s="12" t="s">
        <v>1201</v>
      </c>
      <c r="E320" s="12" t="s">
        <v>1201</v>
      </c>
      <c r="F320" s="12"/>
      <c r="G320" s="15"/>
      <c r="H320" s="13">
        <v>9410</v>
      </c>
      <c r="I320" s="12" t="s">
        <v>1202</v>
      </c>
      <c r="J320" s="5">
        <f>SUM(B320:H321)</f>
        <v>63747</v>
      </c>
      <c r="K320" s="5"/>
      <c r="L320" s="5"/>
    </row>
    <row r="321" spans="1:12">
      <c r="A321" s="13"/>
      <c r="B321" s="13">
        <v>21008</v>
      </c>
      <c r="C321" s="13">
        <v>27346</v>
      </c>
      <c r="D321" s="13">
        <v>3113</v>
      </c>
      <c r="E321" s="13">
        <v>2870</v>
      </c>
      <c r="F321" s="13"/>
      <c r="G321" s="13"/>
      <c r="H321" s="13"/>
      <c r="I321" s="13"/>
      <c r="J321" s="5"/>
      <c r="K321" s="5"/>
      <c r="L321" s="5"/>
    </row>
    <row r="322" spans="1:12">
      <c r="A322" s="13"/>
      <c r="B322" s="13"/>
      <c r="C322" s="13"/>
      <c r="D322" s="13"/>
      <c r="E322" s="13"/>
      <c r="F322" s="13"/>
      <c r="G322" s="13"/>
      <c r="H322" s="13"/>
      <c r="I322" s="13"/>
      <c r="J322" s="5"/>
      <c r="K322" s="5"/>
      <c r="L322" s="5"/>
    </row>
    <row r="323" spans="1:12">
      <c r="A323" s="33" t="s">
        <v>84</v>
      </c>
      <c r="B323" s="29" t="s">
        <v>1203</v>
      </c>
      <c r="C323" s="32" t="s">
        <v>1387</v>
      </c>
      <c r="D323" s="29" t="s">
        <v>1205</v>
      </c>
      <c r="E323" s="31"/>
      <c r="F323" s="36" t="s">
        <v>1205</v>
      </c>
      <c r="G323" s="29"/>
      <c r="H323" s="30">
        <v>8932</v>
      </c>
      <c r="I323" s="32" t="s">
        <v>1207</v>
      </c>
      <c r="J323" s="5">
        <f>SUM(B323:H324)</f>
        <v>63862</v>
      </c>
      <c r="K323" s="5"/>
      <c r="L323" s="5"/>
    </row>
    <row r="324" spans="1:12">
      <c r="A324" s="30"/>
      <c r="B324" s="30">
        <v>38286</v>
      </c>
      <c r="C324" s="30">
        <v>11563</v>
      </c>
      <c r="D324" s="30">
        <v>2482</v>
      </c>
      <c r="E324" s="31"/>
      <c r="F324" s="31">
        <v>2599</v>
      </c>
      <c r="G324" s="30"/>
      <c r="H324" s="30"/>
      <c r="I324" s="30"/>
      <c r="J324" s="5"/>
      <c r="K324" s="5"/>
      <c r="L324" s="5"/>
    </row>
    <row r="325" spans="1:12">
      <c r="A325" s="13"/>
      <c r="B325" s="13"/>
      <c r="C325" s="13"/>
      <c r="D325" s="13"/>
      <c r="E325" s="13"/>
      <c r="F325" s="13"/>
      <c r="G325" s="13"/>
      <c r="H325" s="13"/>
      <c r="I325" s="13"/>
      <c r="J325" s="5"/>
      <c r="K325" s="5"/>
      <c r="L325" s="5"/>
    </row>
    <row r="326" spans="1:12">
      <c r="A326" s="14" t="s">
        <v>89</v>
      </c>
      <c r="B326" s="15" t="s">
        <v>1388</v>
      </c>
      <c r="C326" s="12" t="s">
        <v>1208</v>
      </c>
      <c r="D326" s="12" t="s">
        <v>1388</v>
      </c>
      <c r="E326" s="15" t="s">
        <v>1208</v>
      </c>
      <c r="F326" s="15" t="s">
        <v>1388</v>
      </c>
      <c r="G326" s="15"/>
      <c r="H326" s="13">
        <v>7676</v>
      </c>
      <c r="I326" s="12" t="s">
        <v>1210</v>
      </c>
      <c r="J326" s="5">
        <f>SUM(B326:H327)</f>
        <v>55864</v>
      </c>
      <c r="K326" s="5"/>
      <c r="L326" s="5"/>
    </row>
    <row r="327" spans="1:12">
      <c r="A327" s="13"/>
      <c r="B327" s="13">
        <v>16088</v>
      </c>
      <c r="C327" s="13">
        <v>25913</v>
      </c>
      <c r="D327" s="13">
        <v>1267</v>
      </c>
      <c r="E327" s="13">
        <v>3871</v>
      </c>
      <c r="F327" s="13">
        <v>1049</v>
      </c>
      <c r="G327" s="13"/>
      <c r="H327" s="13"/>
      <c r="I327" s="13"/>
      <c r="J327" s="5"/>
      <c r="K327" s="5"/>
      <c r="L327" s="5"/>
    </row>
    <row r="328" spans="1:1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1:12">
      <c r="A329" s="33" t="s">
        <v>96</v>
      </c>
      <c r="B329" s="29" t="s">
        <v>1211</v>
      </c>
      <c r="C329" s="32"/>
      <c r="D329" s="32" t="s">
        <v>1212</v>
      </c>
      <c r="E329" s="32"/>
      <c r="F329" s="32" t="s">
        <v>1212</v>
      </c>
      <c r="G329" s="29"/>
      <c r="H329" s="30">
        <v>16810</v>
      </c>
      <c r="I329" s="32" t="s">
        <v>1213</v>
      </c>
      <c r="J329" s="5"/>
      <c r="K329" s="5"/>
      <c r="L329" s="5"/>
    </row>
    <row r="330" spans="1:12">
      <c r="A330" s="30"/>
      <c r="B330" s="30">
        <v>31570</v>
      </c>
      <c r="C330" s="30"/>
      <c r="D330" s="30">
        <v>4309</v>
      </c>
      <c r="E330" s="30"/>
      <c r="F330" s="30">
        <v>2073</v>
      </c>
      <c r="G330" s="30"/>
      <c r="H330" s="30"/>
      <c r="I330" s="30"/>
      <c r="J330" s="5"/>
      <c r="K330" s="5"/>
      <c r="L330" s="5"/>
    </row>
    <row r="331" spans="1:12">
      <c r="A331" s="13"/>
      <c r="B331" s="13"/>
      <c r="C331" s="13"/>
      <c r="D331" s="13"/>
      <c r="E331" s="13"/>
      <c r="F331" s="13"/>
      <c r="G331" s="13"/>
      <c r="H331" s="13"/>
      <c r="I331" s="13"/>
      <c r="J331" s="5"/>
      <c r="K331" s="5"/>
      <c r="L331" s="5"/>
    </row>
    <row r="332" spans="1:12">
      <c r="A332" s="14" t="s">
        <v>99</v>
      </c>
      <c r="B332" s="15"/>
      <c r="C332" s="12" t="s">
        <v>232</v>
      </c>
      <c r="D332" s="12" t="s">
        <v>232</v>
      </c>
      <c r="E332" s="12"/>
      <c r="F332" s="12"/>
      <c r="G332" s="15"/>
      <c r="H332" s="13">
        <v>24803</v>
      </c>
      <c r="I332" s="12" t="s">
        <v>240</v>
      </c>
      <c r="J332" s="5"/>
      <c r="K332" s="5"/>
      <c r="L332" s="5"/>
    </row>
    <row r="333" spans="1:12">
      <c r="A333" s="13"/>
      <c r="B333" s="13"/>
      <c r="C333" s="13">
        <v>27819</v>
      </c>
      <c r="D333" s="13">
        <v>4626</v>
      </c>
      <c r="E333" s="13"/>
      <c r="F333" s="13"/>
      <c r="G333" s="13"/>
      <c r="H333" s="13"/>
      <c r="I333" s="13"/>
      <c r="J333" s="5"/>
      <c r="K333" s="5"/>
      <c r="L333" s="5"/>
    </row>
    <row r="334" spans="1:12">
      <c r="A334" s="13"/>
      <c r="B334" s="13"/>
      <c r="C334" s="13"/>
      <c r="D334" s="13"/>
      <c r="E334" s="13"/>
      <c r="F334" s="13"/>
      <c r="G334" s="13"/>
      <c r="H334" s="13"/>
      <c r="I334" s="13"/>
      <c r="J334" s="5"/>
      <c r="K334" s="5"/>
      <c r="L334" s="5"/>
    </row>
    <row r="335" spans="1:12">
      <c r="A335" s="33" t="s">
        <v>111</v>
      </c>
      <c r="B335" s="29" t="s">
        <v>1214</v>
      </c>
      <c r="C335" s="32" t="s">
        <v>278</v>
      </c>
      <c r="D335" s="32" t="s">
        <v>1214</v>
      </c>
      <c r="E335" s="32" t="s">
        <v>278</v>
      </c>
      <c r="F335" s="32" t="s">
        <v>1214</v>
      </c>
      <c r="G335" s="29"/>
      <c r="H335" s="30">
        <v>8809</v>
      </c>
      <c r="I335" s="32" t="s">
        <v>1389</v>
      </c>
      <c r="J335" s="5"/>
      <c r="K335" s="5"/>
      <c r="L335" s="5"/>
    </row>
    <row r="336" spans="1:12">
      <c r="A336" s="30"/>
      <c r="B336" s="30">
        <v>31262</v>
      </c>
      <c r="C336" s="30">
        <v>21307</v>
      </c>
      <c r="D336" s="30">
        <v>3697</v>
      </c>
      <c r="E336" s="30">
        <v>3122</v>
      </c>
      <c r="F336" s="30">
        <v>2246</v>
      </c>
      <c r="G336" s="30"/>
      <c r="H336" s="30"/>
      <c r="I336" s="30"/>
      <c r="J336" s="5"/>
      <c r="K336" s="5"/>
      <c r="L336" s="5"/>
    </row>
    <row r="337" spans="1:12">
      <c r="A337" s="13"/>
      <c r="B337" s="13"/>
      <c r="C337" s="13"/>
      <c r="D337" s="13"/>
      <c r="E337" s="13"/>
      <c r="F337" s="13"/>
      <c r="G337" s="13"/>
      <c r="H337" s="13"/>
      <c r="I337" s="13"/>
      <c r="J337" s="5"/>
      <c r="K337" s="5"/>
      <c r="L337" s="5"/>
    </row>
    <row r="338" spans="1:12">
      <c r="A338" s="14" t="s">
        <v>119</v>
      </c>
      <c r="B338" s="15" t="s">
        <v>1216</v>
      </c>
      <c r="C338" s="12" t="s">
        <v>1390</v>
      </c>
      <c r="D338" s="12" t="s">
        <v>1216</v>
      </c>
      <c r="E338" s="12" t="s">
        <v>1390</v>
      </c>
      <c r="F338" s="12" t="s">
        <v>1216</v>
      </c>
      <c r="G338" s="15"/>
      <c r="H338" s="13">
        <v>9229</v>
      </c>
      <c r="I338" s="12" t="s">
        <v>1217</v>
      </c>
      <c r="J338" s="5"/>
      <c r="K338" s="5"/>
      <c r="L338" s="5"/>
    </row>
    <row r="339" spans="1:12">
      <c r="A339" s="13"/>
      <c r="B339" s="13">
        <v>36933</v>
      </c>
      <c r="C339" s="13">
        <v>21087</v>
      </c>
      <c r="D339" s="13">
        <v>3344</v>
      </c>
      <c r="E339" s="13">
        <v>2479</v>
      </c>
      <c r="F339" s="13">
        <v>1545</v>
      </c>
      <c r="G339" s="13"/>
      <c r="H339" s="13"/>
      <c r="I339" s="13"/>
      <c r="J339" s="5"/>
      <c r="K339" s="5"/>
      <c r="L339" s="5"/>
    </row>
    <row r="340" spans="1:12">
      <c r="A340" s="13"/>
      <c r="B340" s="13"/>
      <c r="C340" s="13"/>
      <c r="D340" s="13"/>
      <c r="E340" s="13"/>
      <c r="F340" s="13"/>
      <c r="G340" s="13"/>
      <c r="H340" s="13"/>
      <c r="I340" s="13"/>
      <c r="J340" s="5"/>
      <c r="K340" s="5"/>
      <c r="L340" s="5"/>
    </row>
    <row r="341" spans="1:12">
      <c r="A341" s="33" t="s">
        <v>127</v>
      </c>
      <c r="B341" s="29"/>
      <c r="C341" s="32" t="s">
        <v>878</v>
      </c>
      <c r="D341" s="32" t="s">
        <v>878</v>
      </c>
      <c r="E341" s="32" t="s">
        <v>878</v>
      </c>
      <c r="F341" s="32"/>
      <c r="G341" s="29"/>
      <c r="H341" s="30">
        <v>29705</v>
      </c>
      <c r="I341" s="32" t="s">
        <v>880</v>
      </c>
      <c r="J341" s="5"/>
      <c r="K341" s="5"/>
      <c r="L341" s="5"/>
    </row>
    <row r="342" spans="1:12">
      <c r="A342" s="30"/>
      <c r="B342" s="30"/>
      <c r="C342" s="30">
        <v>33842</v>
      </c>
      <c r="D342" s="30">
        <v>4617</v>
      </c>
      <c r="E342" s="30">
        <v>3430</v>
      </c>
      <c r="F342" s="30"/>
      <c r="G342" s="30"/>
      <c r="H342" s="30"/>
      <c r="I342" s="30"/>
      <c r="J342" s="5"/>
      <c r="K342" s="5"/>
      <c r="L342" s="5"/>
    </row>
    <row r="343" spans="1:12">
      <c r="A343" s="13"/>
      <c r="B343" s="13"/>
      <c r="C343" s="13"/>
      <c r="D343" s="13"/>
      <c r="E343" s="13"/>
      <c r="F343" s="13"/>
      <c r="G343" s="13"/>
      <c r="H343" s="13"/>
      <c r="I343" s="13"/>
      <c r="J343" s="5"/>
      <c r="K343" s="5"/>
      <c r="L343" s="5"/>
    </row>
    <row r="344" spans="1:12">
      <c r="A344" s="14" t="s">
        <v>131</v>
      </c>
      <c r="B344" s="15" t="s">
        <v>1219</v>
      </c>
      <c r="C344" s="12"/>
      <c r="D344" s="12"/>
      <c r="E344" s="12"/>
      <c r="F344" s="12"/>
      <c r="G344" s="12"/>
      <c r="H344" s="13">
        <v>25313</v>
      </c>
      <c r="I344" s="12" t="s">
        <v>132</v>
      </c>
      <c r="J344" s="5"/>
      <c r="K344" s="5"/>
      <c r="L344" s="5"/>
    </row>
    <row r="345" spans="1:12">
      <c r="A345" s="13"/>
      <c r="B345" s="13">
        <v>29304</v>
      </c>
      <c r="C345" s="13"/>
      <c r="D345" s="13"/>
      <c r="E345" s="13"/>
      <c r="F345" s="13"/>
      <c r="G345" s="13"/>
      <c r="H345" s="13"/>
      <c r="I345" s="13"/>
      <c r="J345" s="5"/>
      <c r="K345" s="5"/>
      <c r="L345" s="5"/>
    </row>
    <row r="346" spans="1:12">
      <c r="A346" s="13"/>
      <c r="B346" s="13"/>
      <c r="C346" s="13"/>
      <c r="D346" s="13"/>
      <c r="E346" s="13"/>
      <c r="F346" s="13"/>
      <c r="G346" s="13"/>
      <c r="H346" s="13"/>
      <c r="I346" s="13"/>
      <c r="J346" s="5"/>
      <c r="K346" s="5"/>
      <c r="L346" s="5"/>
    </row>
    <row r="347" spans="1:12">
      <c r="A347" s="33" t="s">
        <v>137</v>
      </c>
      <c r="B347" s="29" t="s">
        <v>1391</v>
      </c>
      <c r="C347" s="32" t="s">
        <v>1041</v>
      </c>
      <c r="D347" s="32" t="s">
        <v>1391</v>
      </c>
      <c r="E347" s="32" t="s">
        <v>1041</v>
      </c>
      <c r="F347" s="32" t="s">
        <v>1391</v>
      </c>
      <c r="G347" s="32"/>
      <c r="H347" s="30">
        <v>8426</v>
      </c>
      <c r="I347" s="32" t="s">
        <v>1042</v>
      </c>
      <c r="J347" s="5"/>
      <c r="K347" s="5"/>
      <c r="L347" s="5"/>
    </row>
    <row r="348" spans="1:12">
      <c r="A348" s="30"/>
      <c r="B348" s="30">
        <v>20552</v>
      </c>
      <c r="C348" s="30">
        <v>28000</v>
      </c>
      <c r="D348" s="30">
        <v>2103</v>
      </c>
      <c r="E348" s="30">
        <v>3264</v>
      </c>
      <c r="F348" s="30">
        <v>1335</v>
      </c>
      <c r="G348" s="30"/>
      <c r="H348" s="30"/>
      <c r="I348" s="30"/>
      <c r="J348" s="5"/>
      <c r="K348" s="5"/>
      <c r="L348" s="5"/>
    </row>
    <row r="349" spans="1:12">
      <c r="A349" s="13"/>
      <c r="B349" s="13"/>
      <c r="C349" s="13"/>
      <c r="D349" s="13"/>
      <c r="E349" s="13"/>
      <c r="F349" s="13"/>
      <c r="G349" s="13"/>
      <c r="H349" s="13"/>
      <c r="I349" s="13"/>
      <c r="J349" s="5"/>
      <c r="K349" s="5"/>
      <c r="L349" s="5"/>
    </row>
    <row r="350" spans="1:12">
      <c r="A350" s="14" t="s">
        <v>146</v>
      </c>
      <c r="B350" s="15"/>
      <c r="C350" s="12" t="s">
        <v>1222</v>
      </c>
      <c r="D350" s="12" t="s">
        <v>1222</v>
      </c>
      <c r="E350" s="12"/>
      <c r="F350" s="12"/>
      <c r="G350" s="15"/>
      <c r="H350" s="13">
        <v>27528</v>
      </c>
      <c r="I350" s="12" t="s">
        <v>1223</v>
      </c>
      <c r="J350" s="5"/>
      <c r="K350" s="5"/>
      <c r="L350" s="5"/>
    </row>
    <row r="351" spans="1:12">
      <c r="A351" s="13"/>
      <c r="B351" s="13"/>
      <c r="C351" s="13">
        <v>32023</v>
      </c>
      <c r="D351" s="13">
        <v>6652</v>
      </c>
      <c r="E351" s="13"/>
      <c r="F351" s="13"/>
      <c r="G351" s="13"/>
      <c r="H351" s="13"/>
      <c r="I351" s="13"/>
      <c r="J351" s="5"/>
      <c r="K351" s="5"/>
      <c r="L351" s="5"/>
    </row>
    <row r="352" spans="1:12">
      <c r="A352" s="13"/>
      <c r="B352" s="13"/>
      <c r="C352" s="13"/>
      <c r="D352" s="13"/>
      <c r="E352" s="13"/>
      <c r="F352" s="13"/>
      <c r="G352" s="13"/>
      <c r="H352" s="13"/>
      <c r="I352" s="13"/>
      <c r="J352" s="5"/>
      <c r="K352" s="5"/>
      <c r="L352" s="5"/>
    </row>
    <row r="353" spans="1:12">
      <c r="A353" s="33" t="s">
        <v>151</v>
      </c>
      <c r="B353" s="29"/>
      <c r="C353" s="32" t="s">
        <v>882</v>
      </c>
      <c r="D353" s="32" t="s">
        <v>882</v>
      </c>
      <c r="E353" s="32" t="s">
        <v>882</v>
      </c>
      <c r="F353" s="32"/>
      <c r="G353" s="29"/>
      <c r="H353" s="30">
        <v>20677</v>
      </c>
      <c r="I353" s="32" t="s">
        <v>884</v>
      </c>
      <c r="J353" s="5"/>
      <c r="K353" s="5"/>
      <c r="L353" s="5"/>
    </row>
    <row r="354" spans="1:12">
      <c r="A354" s="30"/>
      <c r="B354" s="30"/>
      <c r="C354" s="30">
        <v>24572</v>
      </c>
      <c r="D354" s="30">
        <v>4750</v>
      </c>
      <c r="E354" s="30">
        <v>2219</v>
      </c>
      <c r="F354" s="30"/>
      <c r="G354" s="30"/>
      <c r="H354" s="30"/>
      <c r="I354" s="30"/>
      <c r="J354" s="5"/>
      <c r="K354" s="5"/>
      <c r="L354" s="5"/>
    </row>
    <row r="355" spans="1:12">
      <c r="A355" s="13"/>
      <c r="B355" s="13"/>
      <c r="C355" s="13"/>
      <c r="D355" s="13"/>
      <c r="E355" s="13"/>
      <c r="F355" s="13"/>
      <c r="G355" s="13"/>
      <c r="H355" s="13"/>
      <c r="I355" s="13"/>
      <c r="J355" s="5"/>
      <c r="K355" s="5"/>
      <c r="L355" s="5"/>
    </row>
    <row r="356" spans="1:12">
      <c r="A356" s="14" t="s">
        <v>157</v>
      </c>
      <c r="B356" s="15"/>
      <c r="C356" s="12" t="s">
        <v>1392</v>
      </c>
      <c r="D356" s="12"/>
      <c r="E356" s="12" t="s">
        <v>1393</v>
      </c>
      <c r="F356" s="12" t="s">
        <v>1447</v>
      </c>
      <c r="G356" s="12"/>
      <c r="H356" s="13">
        <v>19982</v>
      </c>
      <c r="I356" s="12" t="s">
        <v>1394</v>
      </c>
      <c r="J356" s="5"/>
      <c r="K356" s="5"/>
      <c r="L356" s="5"/>
    </row>
    <row r="357" spans="1:12">
      <c r="A357" s="13"/>
      <c r="B357" s="13"/>
      <c r="C357" s="13">
        <v>29677</v>
      </c>
      <c r="D357" s="13"/>
      <c r="E357" s="13">
        <v>4710</v>
      </c>
      <c r="F357" s="13">
        <v>3706</v>
      </c>
      <c r="G357" s="13"/>
      <c r="H357" s="13"/>
      <c r="I357" s="13"/>
      <c r="J357" s="5"/>
      <c r="K357" s="5"/>
      <c r="L357" s="5"/>
    </row>
    <row r="358" spans="1:12">
      <c r="A358" s="13"/>
      <c r="B358" s="13"/>
      <c r="C358" s="13"/>
      <c r="D358" s="13"/>
      <c r="E358" s="13"/>
      <c r="F358" s="13"/>
      <c r="G358" s="13"/>
      <c r="H358" s="13"/>
      <c r="I358" s="13"/>
      <c r="J358" s="5"/>
      <c r="K358" s="5"/>
      <c r="L358" s="5"/>
    </row>
    <row r="359" spans="1:12">
      <c r="A359" s="33" t="s">
        <v>165</v>
      </c>
      <c r="B359" s="29" t="s">
        <v>1225</v>
      </c>
      <c r="C359" s="32" t="s">
        <v>1395</v>
      </c>
      <c r="D359" s="32" t="s">
        <v>1395</v>
      </c>
      <c r="E359" s="32"/>
      <c r="F359" s="32" t="s">
        <v>1226</v>
      </c>
      <c r="G359" s="29"/>
      <c r="H359" s="30">
        <v>5557</v>
      </c>
      <c r="I359" s="32" t="s">
        <v>1227</v>
      </c>
      <c r="J359" s="5"/>
      <c r="K359" s="5"/>
      <c r="L359" s="5"/>
    </row>
    <row r="360" spans="1:12">
      <c r="A360" s="30"/>
      <c r="B360" s="30">
        <v>25437</v>
      </c>
      <c r="C360" s="30">
        <v>11185</v>
      </c>
      <c r="D360" s="30">
        <v>1658</v>
      </c>
      <c r="E360" s="30"/>
      <c r="F360" s="30">
        <v>1789</v>
      </c>
      <c r="G360" s="30"/>
      <c r="H360" s="30"/>
      <c r="I360" s="30"/>
      <c r="J360" s="5"/>
      <c r="K360" s="5"/>
      <c r="L360" s="5"/>
    </row>
    <row r="361" spans="1:12">
      <c r="A361" s="13"/>
      <c r="B361" s="13"/>
      <c r="C361" s="13"/>
      <c r="D361" s="13"/>
      <c r="E361" s="13"/>
      <c r="F361" s="13"/>
      <c r="G361" s="13"/>
      <c r="H361" s="13"/>
      <c r="I361" s="13"/>
      <c r="J361" s="5"/>
      <c r="K361" s="5"/>
      <c r="L361" s="5"/>
    </row>
    <row r="362" spans="1:12">
      <c r="A362" s="14" t="s">
        <v>169</v>
      </c>
      <c r="B362" s="15" t="s">
        <v>1033</v>
      </c>
      <c r="C362" s="12" t="s">
        <v>233</v>
      </c>
      <c r="D362" s="15" t="s">
        <v>233</v>
      </c>
      <c r="E362" s="15" t="s">
        <v>233</v>
      </c>
      <c r="F362" s="15"/>
      <c r="G362" s="12"/>
      <c r="H362" s="13">
        <v>10159</v>
      </c>
      <c r="I362" s="12" t="s">
        <v>441</v>
      </c>
      <c r="J362" s="5"/>
      <c r="K362" s="5"/>
      <c r="L362" s="5"/>
    </row>
    <row r="363" spans="1:12">
      <c r="A363" s="13"/>
      <c r="B363" s="13">
        <v>12667</v>
      </c>
      <c r="C363" s="13">
        <v>26415</v>
      </c>
      <c r="D363" s="13">
        <v>2402</v>
      </c>
      <c r="E363" s="13">
        <v>1996</v>
      </c>
      <c r="F363" s="13"/>
      <c r="G363" s="13"/>
      <c r="H363" s="13"/>
      <c r="I363" s="13"/>
      <c r="J363" s="5"/>
      <c r="K363" s="5"/>
      <c r="L363" s="5"/>
    </row>
    <row r="364" spans="1:12">
      <c r="A364" s="13"/>
      <c r="B364" s="13"/>
      <c r="C364" s="13"/>
      <c r="D364" s="13"/>
      <c r="E364" s="13"/>
      <c r="F364" s="13"/>
      <c r="G364" s="13"/>
      <c r="H364" s="13"/>
      <c r="I364" s="13"/>
      <c r="J364" s="5"/>
      <c r="K364" s="5"/>
      <c r="L364" s="5"/>
    </row>
    <row r="365" spans="1:12">
      <c r="A365" s="33" t="s">
        <v>175</v>
      </c>
      <c r="B365" s="29" t="s">
        <v>279</v>
      </c>
      <c r="C365" s="32" t="s">
        <v>1396</v>
      </c>
      <c r="D365" s="32" t="s">
        <v>1396</v>
      </c>
      <c r="E365" s="32" t="s">
        <v>1396</v>
      </c>
      <c r="F365" s="32" t="s">
        <v>279</v>
      </c>
      <c r="G365" s="29"/>
      <c r="H365" s="30">
        <v>6325</v>
      </c>
      <c r="I365" s="32" t="s">
        <v>280</v>
      </c>
      <c r="J365" s="5"/>
      <c r="K365" s="5"/>
      <c r="L365" s="5"/>
    </row>
    <row r="366" spans="1:12">
      <c r="A366" s="30"/>
      <c r="B366" s="30">
        <v>23079</v>
      </c>
      <c r="C366" s="30">
        <v>14989</v>
      </c>
      <c r="D366" s="30">
        <v>1380</v>
      </c>
      <c r="E366" s="30">
        <v>1054</v>
      </c>
      <c r="F366" s="30">
        <v>1764</v>
      </c>
      <c r="G366" s="30"/>
      <c r="H366" s="30"/>
      <c r="I366" s="30"/>
      <c r="J366" s="5"/>
      <c r="K366" s="5"/>
      <c r="L366" s="5"/>
    </row>
    <row r="367" spans="1:12">
      <c r="A367" s="13"/>
      <c r="B367" s="13"/>
      <c r="C367" s="13"/>
      <c r="D367" s="13"/>
      <c r="E367" s="13"/>
      <c r="F367" s="13"/>
      <c r="G367" s="13"/>
      <c r="H367" s="13"/>
      <c r="I367" s="13"/>
      <c r="J367" s="5"/>
      <c r="K367" s="5"/>
      <c r="L367" s="5"/>
    </row>
    <row r="368" spans="1:12">
      <c r="A368" s="14" t="s">
        <v>178</v>
      </c>
      <c r="B368" s="15" t="s">
        <v>1397</v>
      </c>
      <c r="C368" s="12" t="s">
        <v>1398</v>
      </c>
      <c r="D368" s="12" t="s">
        <v>1399</v>
      </c>
      <c r="E368" s="12" t="s">
        <v>1398</v>
      </c>
      <c r="F368" s="12" t="s">
        <v>1399</v>
      </c>
      <c r="G368" s="12"/>
      <c r="H368" s="13">
        <v>7751</v>
      </c>
      <c r="I368" s="12" t="s">
        <v>1400</v>
      </c>
      <c r="J368" s="5"/>
      <c r="K368" s="5"/>
      <c r="L368" s="5"/>
    </row>
    <row r="369" spans="1:12">
      <c r="A369" s="13"/>
      <c r="B369" s="13">
        <v>31972</v>
      </c>
      <c r="C369" s="13">
        <v>13775</v>
      </c>
      <c r="D369" s="13">
        <v>1745</v>
      </c>
      <c r="E369" s="13">
        <v>1864</v>
      </c>
      <c r="F369" s="13">
        <v>1654</v>
      </c>
      <c r="G369" s="13"/>
      <c r="H369" s="13"/>
      <c r="I369" s="13"/>
      <c r="J369" s="5"/>
      <c r="K369" s="5"/>
      <c r="L369" s="5"/>
    </row>
    <row r="370" spans="1:12">
      <c r="A370" s="13"/>
      <c r="B370" s="13"/>
      <c r="C370" s="13"/>
      <c r="D370" s="13"/>
      <c r="E370" s="13"/>
      <c r="F370" s="13"/>
      <c r="G370" s="13"/>
      <c r="H370" s="13"/>
      <c r="I370" s="13"/>
      <c r="J370" s="5"/>
      <c r="K370" s="5"/>
      <c r="L370" s="5"/>
    </row>
    <row r="371" spans="1:12">
      <c r="A371" s="30" t="s">
        <v>180</v>
      </c>
      <c r="B371" s="29" t="s">
        <v>191</v>
      </c>
      <c r="C371" s="29" t="s">
        <v>1401</v>
      </c>
      <c r="D371" s="29" t="s">
        <v>191</v>
      </c>
      <c r="E371" s="29" t="s">
        <v>1401</v>
      </c>
      <c r="F371" s="29" t="s">
        <v>191</v>
      </c>
      <c r="G371" s="29"/>
      <c r="H371" s="30">
        <v>6727</v>
      </c>
      <c r="I371" s="32" t="s">
        <v>192</v>
      </c>
      <c r="J371" s="5"/>
      <c r="K371" s="5"/>
      <c r="L371" s="5"/>
    </row>
    <row r="372" spans="1:12">
      <c r="A372" s="33"/>
      <c r="B372" s="30">
        <v>29691</v>
      </c>
      <c r="C372" s="30">
        <v>9172</v>
      </c>
      <c r="D372" s="30">
        <v>2322</v>
      </c>
      <c r="E372" s="30">
        <v>1377</v>
      </c>
      <c r="F372" s="30">
        <v>1655</v>
      </c>
      <c r="G372" s="30"/>
      <c r="H372" s="30"/>
      <c r="I372" s="30"/>
      <c r="J372" s="5"/>
      <c r="K372" s="5"/>
      <c r="L372" s="5"/>
    </row>
    <row r="373" spans="1:12">
      <c r="A373" s="14"/>
      <c r="B373" s="13"/>
      <c r="C373" s="13"/>
      <c r="D373" s="13"/>
      <c r="E373" s="13"/>
      <c r="F373" s="13"/>
      <c r="G373" s="13"/>
      <c r="H373" s="13"/>
      <c r="I373" s="13"/>
      <c r="J373" s="5"/>
      <c r="K373" s="5"/>
      <c r="L373" s="5"/>
    </row>
    <row r="374" spans="1:12">
      <c r="A374" s="13" t="s">
        <v>182</v>
      </c>
      <c r="B374" s="15" t="s">
        <v>269</v>
      </c>
      <c r="C374" s="12" t="s">
        <v>1402</v>
      </c>
      <c r="D374" s="12" t="s">
        <v>1402</v>
      </c>
      <c r="E374" s="12" t="s">
        <v>1402</v>
      </c>
      <c r="F374" s="12" t="s">
        <v>269</v>
      </c>
      <c r="G374" s="15"/>
      <c r="H374" s="13">
        <v>6855</v>
      </c>
      <c r="I374" s="12" t="s">
        <v>383</v>
      </c>
      <c r="J374" s="5"/>
      <c r="K374" s="5"/>
      <c r="L374" s="5"/>
    </row>
    <row r="375" spans="1:12">
      <c r="A375" s="13"/>
      <c r="B375" s="13">
        <v>34780</v>
      </c>
      <c r="C375" s="13">
        <v>21331</v>
      </c>
      <c r="D375" s="13">
        <v>1468</v>
      </c>
      <c r="E375" s="13">
        <v>2549</v>
      </c>
      <c r="F375" s="13">
        <v>2303</v>
      </c>
      <c r="G375" s="13"/>
      <c r="H375" s="13"/>
      <c r="I375" s="13"/>
      <c r="J375" s="5"/>
      <c r="K375" s="5"/>
      <c r="L375" s="5"/>
    </row>
    <row r="376" spans="1:12">
      <c r="A376" s="13"/>
      <c r="B376" s="13"/>
      <c r="C376" s="13"/>
      <c r="D376" s="13"/>
      <c r="E376" s="13"/>
      <c r="F376" s="13"/>
      <c r="G376" s="13"/>
      <c r="H376" s="13"/>
      <c r="I376" s="13"/>
      <c r="J376" s="5"/>
      <c r="K376" s="5"/>
      <c r="L376" s="5"/>
    </row>
    <row r="377" spans="1:12">
      <c r="A377" s="33" t="s">
        <v>183</v>
      </c>
      <c r="B377" s="29"/>
      <c r="C377" s="32" t="s">
        <v>1403</v>
      </c>
      <c r="D377" s="32" t="s">
        <v>1403</v>
      </c>
      <c r="E377" s="32"/>
      <c r="F377" s="32" t="s">
        <v>1403</v>
      </c>
      <c r="G377" s="29"/>
      <c r="H377" s="30">
        <v>17111</v>
      </c>
      <c r="I377" s="32" t="s">
        <v>1404</v>
      </c>
      <c r="J377" s="5"/>
      <c r="K377" s="5"/>
      <c r="L377" s="5"/>
    </row>
    <row r="378" spans="1:12">
      <c r="A378" s="30"/>
      <c r="B378" s="30"/>
      <c r="C378" s="30">
        <v>23260</v>
      </c>
      <c r="D378" s="30">
        <v>3458</v>
      </c>
      <c r="E378" s="30"/>
      <c r="F378" s="30">
        <v>2666</v>
      </c>
      <c r="G378" s="30"/>
      <c r="H378" s="30"/>
      <c r="I378" s="30"/>
      <c r="J378" s="5"/>
      <c r="K378" s="5"/>
      <c r="L378" s="5"/>
    </row>
    <row r="379" spans="1:12">
      <c r="A379" s="13"/>
      <c r="B379" s="13"/>
      <c r="C379" s="13"/>
      <c r="D379" s="13"/>
      <c r="E379" s="13"/>
      <c r="F379" s="13"/>
      <c r="G379" s="13"/>
      <c r="H379" s="13"/>
      <c r="I379" s="13"/>
      <c r="J379" s="5"/>
      <c r="K379" s="5"/>
      <c r="L379" s="5"/>
    </row>
    <row r="380" spans="1:12">
      <c r="A380" s="13" t="s">
        <v>184</v>
      </c>
      <c r="B380" s="15" t="s">
        <v>1405</v>
      </c>
      <c r="C380" s="15" t="s">
        <v>209</v>
      </c>
      <c r="D380" s="10" t="s">
        <v>209</v>
      </c>
      <c r="E380" s="15" t="s">
        <v>209</v>
      </c>
      <c r="F380" s="15"/>
      <c r="G380" s="15"/>
      <c r="H380" s="13">
        <v>10299</v>
      </c>
      <c r="I380" s="12" t="s">
        <v>210</v>
      </c>
      <c r="J380" s="5"/>
      <c r="K380" s="5"/>
      <c r="L380" s="5"/>
    </row>
    <row r="381" spans="1:12">
      <c r="A381" s="13"/>
      <c r="B381" s="13">
        <v>15940</v>
      </c>
      <c r="C381" s="13">
        <v>25102</v>
      </c>
      <c r="D381" s="5">
        <v>2429</v>
      </c>
      <c r="E381" s="13">
        <v>1925</v>
      </c>
      <c r="F381" s="13"/>
      <c r="G381" s="13"/>
      <c r="H381" s="13"/>
      <c r="I381" s="13"/>
      <c r="J381" s="5"/>
      <c r="K381" s="5"/>
      <c r="L381" s="5"/>
    </row>
    <row r="382" spans="1:12">
      <c r="A382" s="13"/>
      <c r="B382" s="13"/>
      <c r="C382" s="13"/>
      <c r="D382" s="13"/>
      <c r="E382" s="13"/>
      <c r="F382" s="13"/>
      <c r="G382" s="13"/>
      <c r="H382" s="13"/>
      <c r="I382" s="13"/>
      <c r="J382" s="5"/>
      <c r="K382" s="5"/>
      <c r="L382" s="5"/>
    </row>
    <row r="383" spans="1:12">
      <c r="A383" s="30" t="s">
        <v>185</v>
      </c>
      <c r="B383" s="29" t="s">
        <v>1406</v>
      </c>
      <c r="C383" s="29" t="s">
        <v>234</v>
      </c>
      <c r="D383" s="29" t="s">
        <v>234</v>
      </c>
      <c r="E383" s="29" t="s">
        <v>234</v>
      </c>
      <c r="F383" s="29"/>
      <c r="G383" s="29"/>
      <c r="H383" s="30">
        <v>10534</v>
      </c>
      <c r="I383" s="32" t="s">
        <v>249</v>
      </c>
      <c r="J383" s="5"/>
      <c r="K383" s="5"/>
      <c r="L383" s="5"/>
    </row>
    <row r="384" spans="1:12">
      <c r="A384" s="30"/>
      <c r="B384" s="30">
        <v>17198</v>
      </c>
      <c r="C384" s="30">
        <v>29253</v>
      </c>
      <c r="D384" s="30">
        <v>2748</v>
      </c>
      <c r="E384" s="30">
        <v>2593</v>
      </c>
      <c r="F384" s="30"/>
      <c r="G384" s="30"/>
      <c r="H384" s="30"/>
      <c r="I384" s="30"/>
      <c r="J384" s="5"/>
      <c r="K384" s="5"/>
      <c r="L384" s="5"/>
    </row>
    <row r="385" spans="1:1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1:12">
      <c r="A386" s="14" t="s">
        <v>7</v>
      </c>
      <c r="B386" s="15" t="s">
        <v>235</v>
      </c>
      <c r="C386" s="15"/>
      <c r="D386" s="15"/>
      <c r="E386" s="15"/>
      <c r="F386" s="15" t="s">
        <v>235</v>
      </c>
      <c r="G386" s="15"/>
      <c r="H386" s="13">
        <v>20906</v>
      </c>
      <c r="I386" s="12" t="s">
        <v>236</v>
      </c>
      <c r="J386" s="5"/>
      <c r="K386" s="5"/>
      <c r="L386" s="5"/>
    </row>
    <row r="387" spans="1:12">
      <c r="A387" s="13"/>
      <c r="B387" s="13">
        <v>30916</v>
      </c>
      <c r="C387" s="13"/>
      <c r="D387" s="13"/>
      <c r="E387" s="13"/>
      <c r="F387" s="13">
        <v>3852</v>
      </c>
      <c r="G387" s="13"/>
      <c r="H387" s="13"/>
      <c r="I387" s="13"/>
      <c r="J387" s="5"/>
      <c r="K387" s="5"/>
      <c r="L387" s="5"/>
    </row>
    <row r="388" spans="1:12">
      <c r="A388" s="13"/>
      <c r="B388" s="13"/>
      <c r="C388" s="13"/>
      <c r="D388" s="13"/>
      <c r="E388" s="13"/>
      <c r="F388" s="13"/>
      <c r="G388" s="13"/>
      <c r="H388" s="13"/>
      <c r="I388" s="13"/>
      <c r="J388" s="5"/>
      <c r="K388" s="5"/>
      <c r="L388" s="5"/>
    </row>
    <row r="389" spans="1:12">
      <c r="A389" s="33" t="s">
        <v>9</v>
      </c>
      <c r="B389" s="29" t="s">
        <v>237</v>
      </c>
      <c r="C389" s="32"/>
      <c r="D389" s="32"/>
      <c r="E389" s="32"/>
      <c r="F389" s="32" t="s">
        <v>237</v>
      </c>
      <c r="G389" s="29"/>
      <c r="H389" s="30">
        <v>23553</v>
      </c>
      <c r="I389" s="32" t="s">
        <v>250</v>
      </c>
      <c r="J389" s="5"/>
      <c r="K389" s="5"/>
      <c r="L389" s="5"/>
    </row>
    <row r="390" spans="1:12">
      <c r="A390" s="30"/>
      <c r="B390" s="30">
        <v>31036</v>
      </c>
      <c r="C390" s="30"/>
      <c r="D390" s="30"/>
      <c r="E390" s="30"/>
      <c r="F390" s="30">
        <v>2841</v>
      </c>
      <c r="G390" s="30"/>
      <c r="H390" s="30"/>
      <c r="I390" s="30"/>
      <c r="J390" s="5"/>
      <c r="K390" s="5"/>
      <c r="L390" s="5"/>
    </row>
    <row r="391" spans="1:12">
      <c r="A391" s="13"/>
      <c r="B391" s="13"/>
      <c r="C391" s="13"/>
      <c r="D391" s="13"/>
      <c r="E391" s="13"/>
      <c r="F391" s="13"/>
      <c r="G391" s="13"/>
      <c r="H391" s="13"/>
      <c r="I391" s="13"/>
      <c r="J391" s="5"/>
      <c r="K391" s="5"/>
      <c r="L391" s="5"/>
    </row>
    <row r="392" spans="1:12">
      <c r="A392" s="14" t="s">
        <v>15</v>
      </c>
      <c r="B392" s="15"/>
      <c r="C392" s="12" t="s">
        <v>270</v>
      </c>
      <c r="D392" s="12" t="s">
        <v>270</v>
      </c>
      <c r="E392" s="12" t="s">
        <v>270</v>
      </c>
      <c r="F392" s="12"/>
      <c r="G392" s="15"/>
      <c r="H392" s="13">
        <v>26345</v>
      </c>
      <c r="I392" s="12" t="s">
        <v>271</v>
      </c>
      <c r="J392" s="5"/>
      <c r="K392" s="5"/>
      <c r="L392" s="5"/>
    </row>
    <row r="393" spans="1:12">
      <c r="A393" s="13"/>
      <c r="B393" s="13"/>
      <c r="C393" s="13">
        <v>26802</v>
      </c>
      <c r="D393" s="13">
        <v>4270</v>
      </c>
      <c r="E393" s="13">
        <v>2982</v>
      </c>
      <c r="F393" s="13"/>
      <c r="G393" s="13"/>
      <c r="H393" s="13"/>
      <c r="I393" s="13"/>
      <c r="J393" s="5"/>
      <c r="K393" s="5"/>
      <c r="L393" s="5"/>
    </row>
    <row r="394" spans="1:12">
      <c r="A394" s="13"/>
      <c r="B394" s="13"/>
      <c r="C394" s="13"/>
      <c r="D394" s="13"/>
      <c r="E394" s="13"/>
      <c r="F394" s="13"/>
      <c r="G394" s="13"/>
      <c r="H394" s="13"/>
      <c r="I394" s="13"/>
      <c r="J394" s="5"/>
      <c r="K394" s="5"/>
      <c r="L394" s="5"/>
    </row>
    <row r="395" spans="1:12">
      <c r="A395" s="33" t="s">
        <v>17</v>
      </c>
      <c r="B395" s="29"/>
      <c r="C395" s="32" t="s">
        <v>1237</v>
      </c>
      <c r="D395" s="31"/>
      <c r="E395" s="32" t="s">
        <v>251</v>
      </c>
      <c r="F395" s="32"/>
      <c r="G395" s="29"/>
      <c r="H395" s="30">
        <v>22443</v>
      </c>
      <c r="I395" s="32" t="s">
        <v>18</v>
      </c>
      <c r="J395" s="5"/>
      <c r="K395" s="5"/>
      <c r="L395" s="5"/>
    </row>
    <row r="396" spans="1:12">
      <c r="A396" s="30"/>
      <c r="B396" s="30"/>
      <c r="C396" s="30">
        <v>27986</v>
      </c>
      <c r="D396" s="31"/>
      <c r="E396" s="30">
        <v>4512</v>
      </c>
      <c r="F396" s="30"/>
      <c r="G396" s="30"/>
      <c r="H396" s="30"/>
      <c r="I396" s="30"/>
      <c r="J396" s="5"/>
      <c r="K396" s="5"/>
      <c r="L396" s="5"/>
    </row>
    <row r="397" spans="1:12">
      <c r="A397" s="13"/>
      <c r="B397" s="13"/>
      <c r="C397" s="13"/>
      <c r="D397" s="13"/>
      <c r="E397" s="13"/>
      <c r="F397" s="13"/>
      <c r="G397" s="13"/>
      <c r="H397" s="13"/>
      <c r="I397" s="13"/>
      <c r="J397" s="5"/>
      <c r="K397" s="5"/>
      <c r="L397" s="5"/>
    </row>
    <row r="398" spans="1:12">
      <c r="A398" s="14" t="s">
        <v>25</v>
      </c>
      <c r="B398" s="15" t="s">
        <v>1407</v>
      </c>
      <c r="C398" s="12" t="s">
        <v>211</v>
      </c>
      <c r="D398" s="12" t="s">
        <v>211</v>
      </c>
      <c r="E398" s="12" t="s">
        <v>211</v>
      </c>
      <c r="F398" s="12"/>
      <c r="G398" s="15"/>
      <c r="H398" s="13">
        <v>10663</v>
      </c>
      <c r="I398" s="12" t="s">
        <v>212</v>
      </c>
      <c r="J398" s="5"/>
      <c r="K398" s="5"/>
      <c r="L398" s="5"/>
    </row>
    <row r="399" spans="1:12">
      <c r="A399" s="13"/>
      <c r="B399" s="13">
        <v>16762</v>
      </c>
      <c r="C399" s="13">
        <v>27204</v>
      </c>
      <c r="D399" s="13">
        <v>2690</v>
      </c>
      <c r="E399" s="13">
        <v>2469</v>
      </c>
      <c r="F399" s="13"/>
      <c r="G399" s="13"/>
      <c r="H399" s="13"/>
      <c r="I399" s="13"/>
      <c r="J399" s="5"/>
      <c r="K399" s="5"/>
      <c r="L399" s="5"/>
    </row>
    <row r="400" spans="1:12">
      <c r="A400" s="13"/>
      <c r="B400" s="13"/>
      <c r="C400" s="13"/>
      <c r="D400" s="13"/>
      <c r="E400" s="13"/>
      <c r="F400" s="13"/>
      <c r="G400" s="13"/>
      <c r="H400" s="13"/>
      <c r="I400" s="13"/>
      <c r="J400" s="5"/>
      <c r="K400" s="5"/>
      <c r="L400" s="5"/>
    </row>
    <row r="401" spans="1:13">
      <c r="A401" s="33" t="s">
        <v>31</v>
      </c>
      <c r="B401" s="29"/>
      <c r="C401" s="32" t="s">
        <v>562</v>
      </c>
      <c r="D401" s="32" t="s">
        <v>562</v>
      </c>
      <c r="E401" s="32" t="s">
        <v>562</v>
      </c>
      <c r="F401" s="32"/>
      <c r="G401" s="29"/>
      <c r="H401" s="30">
        <v>32041</v>
      </c>
      <c r="I401" s="32" t="s">
        <v>563</v>
      </c>
      <c r="J401" s="5"/>
      <c r="K401" s="5"/>
      <c r="L401" s="5"/>
    </row>
    <row r="402" spans="1:13">
      <c r="A402" s="30"/>
      <c r="B402" s="30"/>
      <c r="C402" s="30">
        <v>30500</v>
      </c>
      <c r="D402" s="30">
        <v>3656</v>
      </c>
      <c r="E402" s="30">
        <v>3634</v>
      </c>
      <c r="F402" s="30"/>
      <c r="G402" s="30"/>
      <c r="H402" s="30"/>
      <c r="I402" s="30"/>
      <c r="J402" s="5"/>
      <c r="K402" s="5"/>
      <c r="L402" s="5"/>
    </row>
    <row r="403" spans="1:13">
      <c r="A403" s="13"/>
      <c r="B403" s="13"/>
      <c r="C403" s="13"/>
      <c r="D403" s="13"/>
      <c r="E403" s="13"/>
      <c r="F403" s="13"/>
      <c r="G403" s="13"/>
      <c r="H403" s="13"/>
      <c r="I403" s="13"/>
      <c r="J403" s="5"/>
      <c r="K403" s="5"/>
      <c r="L403" s="5"/>
    </row>
    <row r="404" spans="1:13">
      <c r="A404" s="14" t="s">
        <v>35</v>
      </c>
      <c r="B404" s="15" t="s">
        <v>1408</v>
      </c>
      <c r="C404" s="12" t="s">
        <v>1409</v>
      </c>
      <c r="D404" s="12" t="s">
        <v>1410</v>
      </c>
      <c r="E404" s="12"/>
      <c r="F404" s="12" t="s">
        <v>1448</v>
      </c>
      <c r="G404" s="15"/>
      <c r="H404" s="13">
        <v>10266</v>
      </c>
      <c r="I404" s="12" t="s">
        <v>1411</v>
      </c>
      <c r="J404" s="5"/>
      <c r="K404" s="5"/>
      <c r="L404" s="5"/>
    </row>
    <row r="405" spans="1:13">
      <c r="A405" s="13"/>
      <c r="B405" s="13">
        <v>26896</v>
      </c>
      <c r="C405" s="13">
        <v>12655</v>
      </c>
      <c r="D405" s="13">
        <v>1257</v>
      </c>
      <c r="E405" s="13"/>
      <c r="F405" s="13">
        <v>1713</v>
      </c>
      <c r="G405" s="13"/>
      <c r="H405" s="13"/>
      <c r="I405" s="13"/>
      <c r="J405" s="5"/>
      <c r="K405" s="5"/>
      <c r="L405" s="5"/>
    </row>
    <row r="406" spans="1:1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1:13">
      <c r="A407" s="30" t="s">
        <v>44</v>
      </c>
      <c r="B407" s="29" t="s">
        <v>194</v>
      </c>
      <c r="C407" s="29"/>
      <c r="D407" s="29" t="s">
        <v>194</v>
      </c>
      <c r="E407" s="29"/>
      <c r="F407" s="29"/>
      <c r="G407" s="30"/>
      <c r="H407" s="30">
        <v>22907</v>
      </c>
      <c r="I407" s="29" t="s">
        <v>45</v>
      </c>
      <c r="J407" s="13">
        <f>SUM(B407:H408)</f>
        <v>64628</v>
      </c>
      <c r="K407" s="13"/>
      <c r="L407" s="13"/>
      <c r="M407" s="2"/>
    </row>
    <row r="408" spans="1:13">
      <c r="A408" s="30"/>
      <c r="B408" s="30">
        <v>37208</v>
      </c>
      <c r="C408" s="30"/>
      <c r="D408" s="30">
        <v>4513</v>
      </c>
      <c r="E408" s="30"/>
      <c r="F408" s="30"/>
      <c r="G408" s="30"/>
      <c r="H408" s="30"/>
      <c r="I408" s="30"/>
      <c r="J408" s="13"/>
      <c r="K408" s="13"/>
      <c r="L408" s="13"/>
      <c r="M408" s="2"/>
    </row>
    <row r="409" spans="1:13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2"/>
    </row>
    <row r="410" spans="1:13">
      <c r="A410" s="13" t="s">
        <v>49</v>
      </c>
      <c r="B410" s="15" t="s">
        <v>195</v>
      </c>
      <c r="C410" s="15"/>
      <c r="D410" s="15"/>
      <c r="E410" s="15"/>
      <c r="F410" s="15"/>
      <c r="G410" s="15"/>
      <c r="H410" s="13">
        <v>14981</v>
      </c>
      <c r="I410" s="15" t="s">
        <v>50</v>
      </c>
      <c r="J410" s="13">
        <f>SUM(B410:H411)</f>
        <v>44603</v>
      </c>
      <c r="K410" s="13"/>
      <c r="L410" s="13"/>
      <c r="M410" s="2"/>
    </row>
    <row r="411" spans="1:13">
      <c r="A411" s="13"/>
      <c r="B411" s="13">
        <v>29622</v>
      </c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2"/>
    </row>
    <row r="412" spans="1:13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2"/>
    </row>
    <row r="413" spans="1:13">
      <c r="A413" s="30" t="s">
        <v>57</v>
      </c>
      <c r="B413" s="29" t="s">
        <v>1412</v>
      </c>
      <c r="C413" s="29" t="s">
        <v>1051</v>
      </c>
      <c r="D413" s="29" t="s">
        <v>1051</v>
      </c>
      <c r="E413" s="29" t="s">
        <v>1051</v>
      </c>
      <c r="F413" s="29" t="s">
        <v>1412</v>
      </c>
      <c r="G413" s="29"/>
      <c r="H413" s="30">
        <v>12354</v>
      </c>
      <c r="I413" s="29" t="s">
        <v>1052</v>
      </c>
      <c r="J413" s="13">
        <f>SUM(B413:H414)</f>
        <v>64764</v>
      </c>
      <c r="K413" s="13"/>
      <c r="L413" s="13"/>
      <c r="M413" s="2"/>
    </row>
    <row r="414" spans="1:13">
      <c r="A414" s="30"/>
      <c r="B414" s="30">
        <v>17790</v>
      </c>
      <c r="C414" s="30">
        <v>27390</v>
      </c>
      <c r="D414" s="30">
        <v>2293</v>
      </c>
      <c r="E414" s="30">
        <v>3830</v>
      </c>
      <c r="F414" s="30">
        <v>1107</v>
      </c>
      <c r="G414" s="30"/>
      <c r="H414" s="30"/>
      <c r="I414" s="30"/>
      <c r="J414" s="13"/>
      <c r="K414" s="13"/>
      <c r="L414" s="13"/>
      <c r="M414" s="2"/>
    </row>
    <row r="415" spans="1:13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2"/>
    </row>
    <row r="416" spans="1:13">
      <c r="A416" s="13" t="s">
        <v>60</v>
      </c>
      <c r="B416" s="15" t="s">
        <v>1053</v>
      </c>
      <c r="C416" s="15" t="s">
        <v>1413</v>
      </c>
      <c r="D416" s="15" t="s">
        <v>1413</v>
      </c>
      <c r="E416" s="15" t="s">
        <v>1413</v>
      </c>
      <c r="F416" s="15" t="s">
        <v>1053</v>
      </c>
      <c r="G416" s="15"/>
      <c r="H416" s="13">
        <v>8024</v>
      </c>
      <c r="I416" s="15" t="s">
        <v>1414</v>
      </c>
      <c r="J416" s="13">
        <f>SUM(B416:H417)</f>
        <v>75712</v>
      </c>
      <c r="K416" s="13"/>
      <c r="L416" s="13"/>
      <c r="M416" s="2"/>
    </row>
    <row r="417" spans="1:13">
      <c r="A417" s="13"/>
      <c r="B417" s="13">
        <v>38385</v>
      </c>
      <c r="C417" s="13">
        <v>22500</v>
      </c>
      <c r="D417" s="13">
        <v>1441</v>
      </c>
      <c r="E417" s="13">
        <v>3240</v>
      </c>
      <c r="F417" s="13">
        <v>2122</v>
      </c>
      <c r="G417" s="13"/>
      <c r="H417" s="13"/>
      <c r="I417" s="13"/>
      <c r="J417" s="13"/>
      <c r="K417" s="13"/>
      <c r="L417" s="13"/>
      <c r="M417" s="2"/>
    </row>
    <row r="418" spans="1:13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2"/>
    </row>
    <row r="419" spans="1:13">
      <c r="A419" s="30" t="s">
        <v>66</v>
      </c>
      <c r="B419" s="29"/>
      <c r="C419" s="29" t="s">
        <v>1415</v>
      </c>
      <c r="D419" s="29" t="s">
        <v>1415</v>
      </c>
      <c r="E419" s="29" t="s">
        <v>1415</v>
      </c>
      <c r="F419" s="29"/>
      <c r="G419" s="30"/>
      <c r="H419" s="30">
        <v>21561</v>
      </c>
      <c r="I419" s="29" t="s">
        <v>1416</v>
      </c>
      <c r="J419" s="13">
        <f>SUM(B419:H420)</f>
        <v>52894</v>
      </c>
      <c r="K419" s="13"/>
      <c r="L419" s="13"/>
      <c r="M419" s="2"/>
    </row>
    <row r="420" spans="1:13">
      <c r="A420" s="30"/>
      <c r="B420" s="30"/>
      <c r="C420" s="30">
        <v>26212</v>
      </c>
      <c r="D420" s="30">
        <v>3191</v>
      </c>
      <c r="E420" s="30">
        <v>1930</v>
      </c>
      <c r="F420" s="30"/>
      <c r="G420" s="30"/>
      <c r="H420" s="30"/>
      <c r="I420" s="30"/>
      <c r="J420" s="13"/>
      <c r="K420" s="13"/>
      <c r="L420" s="13"/>
      <c r="M420" s="2"/>
    </row>
    <row r="421" spans="1:13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2"/>
    </row>
    <row r="422" spans="1:13">
      <c r="A422" s="13" t="s">
        <v>74</v>
      </c>
      <c r="B422" s="15"/>
      <c r="C422" s="15" t="s">
        <v>1417</v>
      </c>
      <c r="D422" s="15" t="s">
        <v>1417</v>
      </c>
      <c r="E422" s="15" t="s">
        <v>1417</v>
      </c>
      <c r="F422" s="15"/>
      <c r="G422" s="15"/>
      <c r="H422" s="13">
        <v>25910</v>
      </c>
      <c r="I422" s="15" t="s">
        <v>1418</v>
      </c>
      <c r="J422" s="13">
        <f>SUM(B422:H423)</f>
        <v>54021</v>
      </c>
      <c r="K422" s="13"/>
      <c r="L422" s="13"/>
      <c r="M422" s="2"/>
    </row>
    <row r="423" spans="1:13">
      <c r="A423" s="13"/>
      <c r="B423" s="13"/>
      <c r="C423" s="13">
        <v>23996</v>
      </c>
      <c r="D423" s="13">
        <v>2594</v>
      </c>
      <c r="E423" s="13">
        <v>1521</v>
      </c>
      <c r="F423" s="13"/>
      <c r="G423" s="13"/>
      <c r="H423" s="13"/>
      <c r="I423" s="13"/>
      <c r="J423" s="13"/>
      <c r="K423" s="13"/>
      <c r="L423" s="13"/>
      <c r="M423" s="2"/>
    </row>
    <row r="424" spans="1:13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2"/>
    </row>
    <row r="425" spans="1:13">
      <c r="A425" s="30" t="s">
        <v>81</v>
      </c>
      <c r="B425" s="29" t="s">
        <v>1248</v>
      </c>
      <c r="C425" s="29" t="s">
        <v>1419</v>
      </c>
      <c r="D425" s="29" t="s">
        <v>1419</v>
      </c>
      <c r="E425" s="29" t="s">
        <v>1419</v>
      </c>
      <c r="F425" s="29" t="s">
        <v>1248</v>
      </c>
      <c r="G425" s="29"/>
      <c r="H425" s="30">
        <v>8818</v>
      </c>
      <c r="I425" s="29" t="s">
        <v>1420</v>
      </c>
      <c r="J425" s="13">
        <f>SUM(B425:H426)</f>
        <v>55048</v>
      </c>
      <c r="K425" s="13"/>
      <c r="L425" s="13"/>
      <c r="M425" s="2"/>
    </row>
    <row r="426" spans="1:13">
      <c r="A426" s="30"/>
      <c r="B426" s="30">
        <v>26836</v>
      </c>
      <c r="C426" s="30">
        <v>14392</v>
      </c>
      <c r="D426" s="30">
        <v>1377</v>
      </c>
      <c r="E426" s="30">
        <v>1574</v>
      </c>
      <c r="F426" s="30">
        <v>2051</v>
      </c>
      <c r="G426" s="30"/>
      <c r="H426" s="30"/>
      <c r="I426" s="30"/>
      <c r="J426" s="13"/>
      <c r="K426" s="13"/>
      <c r="L426" s="13"/>
      <c r="M426" s="2"/>
    </row>
    <row r="427" spans="1:13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2"/>
    </row>
    <row r="428" spans="1:13">
      <c r="A428" s="13" t="s">
        <v>86</v>
      </c>
      <c r="B428" s="15"/>
      <c r="C428" s="15" t="s">
        <v>254</v>
      </c>
      <c r="D428" s="15" t="s">
        <v>254</v>
      </c>
      <c r="E428" s="15" t="s">
        <v>254</v>
      </c>
      <c r="F428" s="15"/>
      <c r="G428" s="15"/>
      <c r="H428" s="13">
        <v>20940</v>
      </c>
      <c r="I428" s="15" t="s">
        <v>255</v>
      </c>
      <c r="J428" s="13">
        <f>SUM(B428:H429)</f>
        <v>55872</v>
      </c>
      <c r="K428" s="13"/>
      <c r="L428" s="13"/>
      <c r="M428" s="2"/>
    </row>
    <row r="429" spans="1:13">
      <c r="A429" s="13"/>
      <c r="B429" s="13"/>
      <c r="C429" s="13">
        <v>28066</v>
      </c>
      <c r="D429" s="13">
        <v>3406</v>
      </c>
      <c r="E429" s="13">
        <v>3460</v>
      </c>
      <c r="F429" s="13"/>
      <c r="G429" s="13"/>
      <c r="H429" s="13"/>
      <c r="I429" s="13"/>
      <c r="J429" s="13"/>
      <c r="K429" s="13"/>
      <c r="L429" s="13"/>
      <c r="M429" s="2"/>
    </row>
    <row r="430" spans="1:13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2"/>
    </row>
    <row r="431" spans="1:13">
      <c r="A431" s="30" t="s">
        <v>284</v>
      </c>
      <c r="B431" s="29" t="s">
        <v>193</v>
      </c>
      <c r="C431" s="29"/>
      <c r="D431" s="29" t="s">
        <v>193</v>
      </c>
      <c r="E431" s="29" t="s">
        <v>193</v>
      </c>
      <c r="F431" s="29" t="s">
        <v>1449</v>
      </c>
      <c r="G431" s="29"/>
      <c r="H431" s="30">
        <v>20922</v>
      </c>
      <c r="I431" s="29" t="s">
        <v>196</v>
      </c>
      <c r="J431" s="13">
        <f>SUM(B431:H432)</f>
        <v>61031</v>
      </c>
      <c r="K431" s="13"/>
      <c r="L431" s="13"/>
      <c r="M431" s="2"/>
    </row>
    <row r="432" spans="1:13">
      <c r="A432" s="30"/>
      <c r="B432" s="30">
        <v>29607</v>
      </c>
      <c r="C432" s="30"/>
      <c r="D432" s="30">
        <v>3681</v>
      </c>
      <c r="E432" s="30">
        <v>3066</v>
      </c>
      <c r="F432" s="30">
        <v>3755</v>
      </c>
      <c r="G432" s="30"/>
      <c r="H432" s="30"/>
      <c r="I432" s="30"/>
      <c r="J432" s="13"/>
      <c r="K432" s="13"/>
      <c r="L432" s="13"/>
      <c r="M432" s="2"/>
    </row>
    <row r="433" spans="1:13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2"/>
    </row>
    <row r="434" spans="1:13">
      <c r="A434" s="13" t="s">
        <v>100</v>
      </c>
      <c r="B434" s="15" t="s">
        <v>1055</v>
      </c>
      <c r="C434" s="15"/>
      <c r="D434" s="15"/>
      <c r="E434" s="15"/>
      <c r="F434" s="15"/>
      <c r="G434" s="15"/>
      <c r="H434" s="13">
        <v>11200</v>
      </c>
      <c r="I434" s="15" t="s">
        <v>1057</v>
      </c>
      <c r="J434" s="13">
        <f>SUM(B434:H435)</f>
        <v>48815</v>
      </c>
      <c r="K434" s="13"/>
      <c r="L434" s="13"/>
      <c r="M434" s="2"/>
    </row>
    <row r="435" spans="1:13">
      <c r="A435" s="13"/>
      <c r="B435" s="13">
        <v>37615</v>
      </c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2"/>
    </row>
    <row r="436" spans="1:13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2"/>
    </row>
    <row r="437" spans="1:13">
      <c r="A437" s="30" t="s">
        <v>105</v>
      </c>
      <c r="B437" s="29"/>
      <c r="C437" s="29" t="s">
        <v>904</v>
      </c>
      <c r="D437" s="29" t="s">
        <v>904</v>
      </c>
      <c r="E437" s="29" t="s">
        <v>904</v>
      </c>
      <c r="F437" s="29" t="s">
        <v>1450</v>
      </c>
      <c r="G437" s="29"/>
      <c r="H437" s="30">
        <v>30765</v>
      </c>
      <c r="I437" s="29" t="s">
        <v>905</v>
      </c>
      <c r="J437" s="13">
        <f>SUM(B437:H438)</f>
        <v>67142</v>
      </c>
      <c r="K437" s="13"/>
      <c r="L437" s="13"/>
      <c r="M437" s="2"/>
    </row>
    <row r="438" spans="1:13">
      <c r="A438" s="30"/>
      <c r="B438" s="30"/>
      <c r="C438" s="30">
        <v>25929</v>
      </c>
      <c r="D438" s="30">
        <v>3064</v>
      </c>
      <c r="E438" s="30">
        <v>3300</v>
      </c>
      <c r="F438" s="30">
        <v>4084</v>
      </c>
      <c r="G438" s="30"/>
      <c r="H438" s="30"/>
      <c r="I438" s="30"/>
      <c r="J438" s="13"/>
      <c r="K438" s="13"/>
      <c r="L438" s="13"/>
      <c r="M438" s="2"/>
    </row>
    <row r="439" spans="1:13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2"/>
    </row>
    <row r="440" spans="1:13">
      <c r="A440" s="13" t="s">
        <v>115</v>
      </c>
      <c r="B440" s="15" t="s">
        <v>1058</v>
      </c>
      <c r="C440" s="15" t="s">
        <v>1421</v>
      </c>
      <c r="D440" s="15" t="s">
        <v>1058</v>
      </c>
      <c r="E440" s="15" t="s">
        <v>1058</v>
      </c>
      <c r="F440" s="15" t="s">
        <v>1421</v>
      </c>
      <c r="G440" s="15"/>
      <c r="H440" s="13">
        <v>11916</v>
      </c>
      <c r="I440" s="15" t="s">
        <v>1060</v>
      </c>
      <c r="J440" s="13">
        <f>SUM(B440:H441)</f>
        <v>63607</v>
      </c>
      <c r="K440" s="13"/>
      <c r="L440" s="13"/>
      <c r="M440" s="2"/>
    </row>
    <row r="441" spans="1:13">
      <c r="A441" s="13"/>
      <c r="B441" s="13">
        <v>30506</v>
      </c>
      <c r="C441" s="13">
        <v>13933</v>
      </c>
      <c r="D441" s="13">
        <v>3129</v>
      </c>
      <c r="E441" s="13">
        <v>2199</v>
      </c>
      <c r="F441" s="13">
        <v>1924</v>
      </c>
      <c r="G441" s="13"/>
      <c r="H441" s="13"/>
      <c r="I441" s="13"/>
      <c r="J441" s="13"/>
      <c r="K441" s="13"/>
      <c r="L441" s="13"/>
      <c r="M441" s="2"/>
    </row>
    <row r="442" spans="1:13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2"/>
    </row>
    <row r="443" spans="1:13">
      <c r="A443" s="30" t="s">
        <v>123</v>
      </c>
      <c r="B443" s="29" t="s">
        <v>1253</v>
      </c>
      <c r="C443" s="29" t="s">
        <v>1422</v>
      </c>
      <c r="D443" s="29" t="s">
        <v>1253</v>
      </c>
      <c r="E443" s="29"/>
      <c r="F443" s="29" t="s">
        <v>1253</v>
      </c>
      <c r="G443" s="29"/>
      <c r="H443" s="30">
        <v>8762</v>
      </c>
      <c r="I443" s="29" t="s">
        <v>1257</v>
      </c>
      <c r="J443" s="13">
        <f>SUM(B443:H444)</f>
        <v>51408</v>
      </c>
      <c r="K443" s="13"/>
      <c r="L443" s="13"/>
      <c r="M443" s="2"/>
    </row>
    <row r="444" spans="1:13">
      <c r="A444" s="30"/>
      <c r="B444" s="30">
        <v>26204</v>
      </c>
      <c r="C444" s="30">
        <v>12418</v>
      </c>
      <c r="D444" s="30">
        <v>2011</v>
      </c>
      <c r="E444" s="30"/>
      <c r="F444" s="30">
        <v>2013</v>
      </c>
      <c r="G444" s="30"/>
      <c r="H444" s="30"/>
      <c r="I444" s="30"/>
      <c r="J444" s="13"/>
      <c r="K444" s="13"/>
      <c r="L444" s="13"/>
      <c r="M444" s="2"/>
    </row>
    <row r="445" spans="1:13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2"/>
    </row>
    <row r="446" spans="1:13">
      <c r="A446" s="13" t="s">
        <v>129</v>
      </c>
      <c r="B446" s="15" t="s">
        <v>1258</v>
      </c>
      <c r="C446" s="15" t="s">
        <v>1423</v>
      </c>
      <c r="D446" s="15" t="s">
        <v>1258</v>
      </c>
      <c r="E446" s="15" t="s">
        <v>1258</v>
      </c>
      <c r="F446" s="15" t="s">
        <v>1258</v>
      </c>
      <c r="G446" s="15"/>
      <c r="H446" s="13">
        <v>12805</v>
      </c>
      <c r="I446" s="15" t="s">
        <v>1424</v>
      </c>
      <c r="J446" s="13">
        <f>SUM(B446:H447)</f>
        <v>62919</v>
      </c>
      <c r="K446" s="13"/>
      <c r="L446" s="13"/>
      <c r="M446" s="2"/>
    </row>
    <row r="447" spans="1:13">
      <c r="A447" s="13"/>
      <c r="B447" s="13">
        <v>30788</v>
      </c>
      <c r="C447" s="13">
        <v>12551</v>
      </c>
      <c r="D447" s="13">
        <v>2741</v>
      </c>
      <c r="E447" s="13">
        <v>2256</v>
      </c>
      <c r="F447" s="13">
        <v>1778</v>
      </c>
      <c r="G447" s="13"/>
      <c r="H447" s="13"/>
      <c r="I447" s="13"/>
      <c r="J447" s="13"/>
      <c r="K447" s="13"/>
      <c r="L447" s="13"/>
      <c r="M447" s="2"/>
    </row>
    <row r="448" spans="1:13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2"/>
    </row>
    <row r="449" spans="1:13">
      <c r="A449" s="30" t="s">
        <v>135</v>
      </c>
      <c r="B449" s="29" t="s">
        <v>1425</v>
      </c>
      <c r="C449" s="29" t="s">
        <v>1426</v>
      </c>
      <c r="D449" s="29" t="s">
        <v>1426</v>
      </c>
      <c r="E449" s="29" t="s">
        <v>1426</v>
      </c>
      <c r="F449" s="29" t="s">
        <v>1426</v>
      </c>
      <c r="G449" s="29"/>
      <c r="H449" s="30">
        <v>7960</v>
      </c>
      <c r="I449" s="29" t="s">
        <v>1427</v>
      </c>
      <c r="J449" s="13">
        <f>SUM(B449:H450)</f>
        <v>63956</v>
      </c>
      <c r="K449" s="13"/>
      <c r="L449" s="13"/>
      <c r="M449" s="2"/>
    </row>
    <row r="450" spans="1:13">
      <c r="A450" s="30"/>
      <c r="B450" s="30">
        <v>15148</v>
      </c>
      <c r="C450" s="30">
        <v>31191</v>
      </c>
      <c r="D450" s="30">
        <v>3845</v>
      </c>
      <c r="E450" s="30">
        <v>3169</v>
      </c>
      <c r="F450" s="30">
        <v>2643</v>
      </c>
      <c r="G450" s="30"/>
      <c r="H450" s="30"/>
      <c r="I450" s="30"/>
      <c r="J450" s="13"/>
      <c r="K450" s="13"/>
      <c r="L450" s="13"/>
      <c r="M450" s="2"/>
    </row>
    <row r="451" spans="1:13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2"/>
    </row>
    <row r="452" spans="1:13">
      <c r="A452" s="13" t="s">
        <v>143</v>
      </c>
      <c r="B452" s="15" t="s">
        <v>552</v>
      </c>
      <c r="C452" s="15" t="s">
        <v>1265</v>
      </c>
      <c r="D452" s="15" t="s">
        <v>1265</v>
      </c>
      <c r="E452" s="15" t="s">
        <v>1265</v>
      </c>
      <c r="F452" s="15" t="s">
        <v>1451</v>
      </c>
      <c r="G452" s="15"/>
      <c r="H452" s="13">
        <v>9282</v>
      </c>
      <c r="I452" s="15" t="s">
        <v>1266</v>
      </c>
      <c r="J452" s="13">
        <f>SUM(B452:H453)</f>
        <v>53422</v>
      </c>
      <c r="K452" s="13"/>
      <c r="L452" s="13"/>
      <c r="M452" s="2"/>
    </row>
    <row r="453" spans="1:13">
      <c r="A453" s="13"/>
      <c r="B453" s="13">
        <v>12238</v>
      </c>
      <c r="C453" s="13">
        <v>26296</v>
      </c>
      <c r="D453" s="13">
        <v>2200</v>
      </c>
      <c r="E453" s="13">
        <v>2457</v>
      </c>
      <c r="F453" s="13">
        <v>949</v>
      </c>
      <c r="G453" s="13"/>
      <c r="H453" s="13"/>
      <c r="I453" s="13"/>
      <c r="J453" s="13"/>
      <c r="K453" s="13"/>
      <c r="L453" s="13"/>
      <c r="M453" s="2"/>
    </row>
    <row r="454" spans="1:13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2"/>
    </row>
    <row r="455" spans="1:13">
      <c r="A455" s="30" t="s">
        <v>149</v>
      </c>
      <c r="B455" s="29" t="s">
        <v>1428</v>
      </c>
      <c r="C455" s="29" t="s">
        <v>545</v>
      </c>
      <c r="D455" s="29" t="s">
        <v>545</v>
      </c>
      <c r="E455" s="29" t="s">
        <v>545</v>
      </c>
      <c r="F455" s="29" t="s">
        <v>1064</v>
      </c>
      <c r="G455" s="29"/>
      <c r="H455" s="30">
        <v>11007</v>
      </c>
      <c r="I455" s="29" t="s">
        <v>1268</v>
      </c>
      <c r="J455" s="13">
        <f>SUM(B455:H456)</f>
        <v>67054</v>
      </c>
      <c r="K455" s="13"/>
      <c r="L455" s="13"/>
      <c r="M455" s="2"/>
    </row>
    <row r="456" spans="1:13">
      <c r="A456" s="30"/>
      <c r="B456" s="30">
        <v>20680</v>
      </c>
      <c r="C456" s="30">
        <v>28705</v>
      </c>
      <c r="D456" s="30">
        <v>2683</v>
      </c>
      <c r="E456" s="30">
        <v>2399</v>
      </c>
      <c r="F456" s="30">
        <v>1580</v>
      </c>
      <c r="G456" s="30"/>
      <c r="H456" s="30"/>
      <c r="I456" s="30"/>
      <c r="J456" s="13"/>
      <c r="K456" s="13"/>
      <c r="L456" s="13"/>
      <c r="M456" s="2"/>
    </row>
    <row r="457" spans="1:13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2"/>
    </row>
    <row r="458" spans="1:13">
      <c r="A458" s="13" t="s">
        <v>155</v>
      </c>
      <c r="B458" s="15" t="s">
        <v>1429</v>
      </c>
      <c r="C458" s="15" t="s">
        <v>258</v>
      </c>
      <c r="D458" s="15" t="s">
        <v>258</v>
      </c>
      <c r="E458" s="15" t="s">
        <v>258</v>
      </c>
      <c r="F458" s="15"/>
      <c r="G458" s="15"/>
      <c r="H458" s="13">
        <v>9437</v>
      </c>
      <c r="I458" s="15" t="s">
        <v>259</v>
      </c>
      <c r="J458" s="13">
        <f>SUM(B458:H459)</f>
        <v>50064</v>
      </c>
      <c r="K458" s="13"/>
      <c r="L458" s="13"/>
      <c r="M458" s="2"/>
    </row>
    <row r="459" spans="1:13">
      <c r="A459" s="13"/>
      <c r="B459" s="13">
        <v>14284</v>
      </c>
      <c r="C459" s="13">
        <v>22206</v>
      </c>
      <c r="D459" s="13">
        <v>2129</v>
      </c>
      <c r="E459" s="13">
        <v>2008</v>
      </c>
      <c r="F459" s="13"/>
      <c r="G459" s="13"/>
      <c r="H459" s="13"/>
      <c r="I459" s="13"/>
      <c r="J459" s="13"/>
      <c r="K459" s="13"/>
      <c r="L459" s="13"/>
      <c r="M459" s="2"/>
    </row>
    <row r="460" spans="1:13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2"/>
    </row>
    <row r="461" spans="1:13">
      <c r="A461" s="30" t="s">
        <v>162</v>
      </c>
      <c r="B461" s="29" t="s">
        <v>1430</v>
      </c>
      <c r="C461" s="29"/>
      <c r="D461" s="29" t="s">
        <v>1430</v>
      </c>
      <c r="E461" s="30"/>
      <c r="F461" s="30"/>
      <c r="G461" s="30"/>
      <c r="H461" s="30">
        <v>23881</v>
      </c>
      <c r="I461" s="29" t="s">
        <v>1431</v>
      </c>
      <c r="J461" s="13">
        <f>SUM(B461:H462)</f>
        <v>53967</v>
      </c>
      <c r="K461" s="13"/>
      <c r="L461" s="13"/>
      <c r="M461" s="2"/>
    </row>
    <row r="462" spans="1:13">
      <c r="A462" s="30"/>
      <c r="B462" s="30">
        <v>25085</v>
      </c>
      <c r="C462" s="30"/>
      <c r="D462" s="30">
        <v>5001</v>
      </c>
      <c r="E462" s="30"/>
      <c r="F462" s="30"/>
      <c r="G462" s="30"/>
      <c r="H462" s="30"/>
      <c r="I462" s="30"/>
      <c r="J462" s="13"/>
      <c r="K462" s="13"/>
      <c r="L462" s="13"/>
      <c r="M462" s="2"/>
    </row>
    <row r="463" spans="1:13">
      <c r="A463" s="18"/>
      <c r="B463" s="18"/>
      <c r="C463" s="18"/>
      <c r="D463" s="18"/>
      <c r="E463" s="18"/>
      <c r="F463" s="18"/>
      <c r="G463" s="18"/>
      <c r="H463" s="18"/>
      <c r="I463" s="18"/>
      <c r="J463" s="13"/>
      <c r="K463" s="13"/>
      <c r="L463" s="13"/>
      <c r="M463" s="2"/>
    </row>
    <row r="464" spans="1:13">
      <c r="A464" s="19" t="s">
        <v>171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2"/>
    </row>
    <row r="465" spans="1:13">
      <c r="A465" s="13" t="s">
        <v>1432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2"/>
    </row>
    <row r="466" spans="1:13">
      <c r="A466" s="13" t="s">
        <v>1433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2"/>
    </row>
    <row r="467" spans="1:13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2"/>
    </row>
    <row r="468" spans="1:13">
      <c r="A468" s="56" t="s">
        <v>1434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2"/>
    </row>
    <row r="469" spans="1:13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2"/>
    </row>
    <row r="470" spans="1:1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</sheetData>
  <hyperlinks>
    <hyperlink ref="A468" r:id="rId1"/>
  </hyperlinks>
  <pageMargins left="0.7" right="0.7" top="0.75" bottom="0.75" header="0.3" footer="0.3"/>
  <pageSetup scale="65" fitToHeight="13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0"/>
  <sheetViews>
    <sheetView workbookViewId="0"/>
  </sheetViews>
  <sheetFormatPr defaultColWidth="15.77734375" defaultRowHeight="15.75"/>
  <cols>
    <col min="1" max="1" width="25.77734375" customWidth="1"/>
    <col min="11" max="11" width="26.77734375" customWidth="1"/>
  </cols>
  <sheetData>
    <row r="1" spans="1:13" ht="20.25">
      <c r="A1" s="22" t="s">
        <v>0</v>
      </c>
      <c r="B1" s="8"/>
      <c r="C1" s="8"/>
      <c r="D1" s="8"/>
      <c r="E1" s="8"/>
      <c r="F1" s="8"/>
      <c r="G1" s="8"/>
      <c r="H1" s="8"/>
      <c r="I1" s="7"/>
      <c r="J1" s="5"/>
      <c r="K1" s="5"/>
      <c r="L1" s="5"/>
      <c r="M1" s="5"/>
    </row>
    <row r="2" spans="1:13" ht="20.25">
      <c r="A2" s="22" t="s">
        <v>1478</v>
      </c>
      <c r="B2" s="8"/>
      <c r="C2" s="8"/>
      <c r="D2" s="5"/>
      <c r="E2" s="5"/>
      <c r="F2" s="5"/>
      <c r="G2" s="5"/>
      <c r="H2" s="5"/>
      <c r="I2" s="6"/>
      <c r="J2" s="5"/>
      <c r="K2" s="5"/>
      <c r="L2" s="5"/>
      <c r="M2" s="5"/>
    </row>
    <row r="3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9.25">
      <c r="A4" s="24" t="s">
        <v>1</v>
      </c>
      <c r="B4" s="25" t="s">
        <v>197</v>
      </c>
      <c r="C4" s="25" t="s">
        <v>186</v>
      </c>
      <c r="D4" s="25" t="s">
        <v>215</v>
      </c>
      <c r="E4" s="25" t="s">
        <v>260</v>
      </c>
      <c r="F4" s="26" t="s">
        <v>581</v>
      </c>
      <c r="G4" s="26" t="s">
        <v>1982</v>
      </c>
      <c r="H4" s="26" t="s">
        <v>585</v>
      </c>
      <c r="I4" s="25" t="s">
        <v>580</v>
      </c>
      <c r="J4" s="27" t="s">
        <v>582</v>
      </c>
      <c r="K4" s="25" t="s">
        <v>2</v>
      </c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11" t="s">
        <v>3</v>
      </c>
      <c r="B6" s="12" t="s">
        <v>1082</v>
      </c>
      <c r="C6" s="12" t="s">
        <v>1453</v>
      </c>
      <c r="D6" s="12" t="s">
        <v>1082</v>
      </c>
      <c r="E6" s="12" t="s">
        <v>1453</v>
      </c>
      <c r="F6" s="12" t="s">
        <v>1082</v>
      </c>
      <c r="G6" s="12"/>
      <c r="H6" s="12"/>
      <c r="I6" s="15" t="s">
        <v>1454</v>
      </c>
      <c r="J6" s="13">
        <v>3067</v>
      </c>
      <c r="K6" s="12" t="s">
        <v>1285</v>
      </c>
      <c r="L6" s="5"/>
      <c r="M6" s="5"/>
    </row>
    <row r="7" spans="1:13">
      <c r="A7" s="5"/>
      <c r="B7" s="13">
        <v>21591</v>
      </c>
      <c r="C7" s="13">
        <v>13022</v>
      </c>
      <c r="D7" s="13">
        <v>1905</v>
      </c>
      <c r="E7" s="13">
        <v>2212</v>
      </c>
      <c r="F7" s="13">
        <v>870</v>
      </c>
      <c r="G7" s="13"/>
      <c r="H7" s="13"/>
      <c r="I7" s="13">
        <v>212</v>
      </c>
      <c r="J7" s="13"/>
      <c r="K7" s="14"/>
      <c r="L7" s="5"/>
      <c r="M7" s="5"/>
    </row>
    <row r="8" spans="1:13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5"/>
      <c r="M8" s="5"/>
    </row>
    <row r="9" spans="1:13">
      <c r="A9" s="28" t="s">
        <v>10</v>
      </c>
      <c r="B9" s="29" t="s">
        <v>1455</v>
      </c>
      <c r="C9" s="29" t="s">
        <v>1085</v>
      </c>
      <c r="D9" s="29" t="s">
        <v>1085</v>
      </c>
      <c r="E9" s="29" t="s">
        <v>216</v>
      </c>
      <c r="F9" s="29" t="s">
        <v>1455</v>
      </c>
      <c r="G9" s="29"/>
      <c r="H9" s="29"/>
      <c r="I9" s="29"/>
      <c r="J9" s="30">
        <v>2368</v>
      </c>
      <c r="K9" s="29" t="s">
        <v>11</v>
      </c>
      <c r="L9" s="5"/>
      <c r="M9" s="5"/>
    </row>
    <row r="10" spans="1:13">
      <c r="A10" s="31"/>
      <c r="B10" s="30">
        <v>13556</v>
      </c>
      <c r="C10" s="30">
        <v>16754</v>
      </c>
      <c r="D10" s="30">
        <v>2453</v>
      </c>
      <c r="E10" s="30">
        <v>1771</v>
      </c>
      <c r="F10" s="30">
        <v>893</v>
      </c>
      <c r="G10" s="30"/>
      <c r="H10" s="30"/>
      <c r="I10" s="30"/>
      <c r="J10" s="30"/>
      <c r="K10" s="30"/>
      <c r="L10" s="5"/>
      <c r="M10" s="5"/>
    </row>
    <row r="11" spans="1:13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5"/>
      <c r="M11" s="5"/>
    </row>
    <row r="12" spans="1:13">
      <c r="A12" s="11" t="s">
        <v>16</v>
      </c>
      <c r="B12" s="12" t="s">
        <v>1287</v>
      </c>
      <c r="C12" s="12" t="s">
        <v>1288</v>
      </c>
      <c r="D12" s="12" t="s">
        <v>1287</v>
      </c>
      <c r="E12" s="12" t="s">
        <v>1288</v>
      </c>
      <c r="F12" s="12" t="s">
        <v>1287</v>
      </c>
      <c r="G12" s="12"/>
      <c r="H12" s="12"/>
      <c r="I12" s="12"/>
      <c r="J12" s="13">
        <v>1824</v>
      </c>
      <c r="K12" s="12" t="s">
        <v>1289</v>
      </c>
      <c r="L12" s="5"/>
      <c r="M12" s="5"/>
    </row>
    <row r="13" spans="1:13">
      <c r="A13" s="5"/>
      <c r="B13" s="13">
        <v>14973</v>
      </c>
      <c r="C13" s="13">
        <v>8336</v>
      </c>
      <c r="D13" s="13">
        <v>1188</v>
      </c>
      <c r="E13" s="13">
        <v>1483</v>
      </c>
      <c r="F13" s="13">
        <v>876</v>
      </c>
      <c r="G13" s="13"/>
      <c r="H13" s="13"/>
      <c r="I13" s="13"/>
      <c r="J13" s="13"/>
      <c r="K13" s="14"/>
      <c r="L13" s="5"/>
      <c r="M13" s="5"/>
    </row>
    <row r="14" spans="1:13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5"/>
      <c r="M14" s="5"/>
    </row>
    <row r="15" spans="1:13">
      <c r="A15" s="28" t="s">
        <v>26</v>
      </c>
      <c r="B15" s="32" t="s">
        <v>187</v>
      </c>
      <c r="C15" s="32" t="s">
        <v>1290</v>
      </c>
      <c r="D15" s="32" t="s">
        <v>198</v>
      </c>
      <c r="E15" s="32" t="s">
        <v>1290</v>
      </c>
      <c r="F15" s="32" t="s">
        <v>198</v>
      </c>
      <c r="G15" s="32"/>
      <c r="H15" s="32"/>
      <c r="I15" s="32"/>
      <c r="J15" s="30">
        <v>2151</v>
      </c>
      <c r="K15" s="32" t="s">
        <v>27</v>
      </c>
      <c r="L15" s="5"/>
      <c r="M15" s="5"/>
    </row>
    <row r="16" spans="1:13">
      <c r="A16" s="31"/>
      <c r="B16" s="30">
        <v>19956</v>
      </c>
      <c r="C16" s="30">
        <v>8519</v>
      </c>
      <c r="D16" s="30">
        <v>1551</v>
      </c>
      <c r="E16" s="32">
        <v>1451</v>
      </c>
      <c r="F16" s="32">
        <v>935</v>
      </c>
      <c r="G16" s="32"/>
      <c r="H16" s="32"/>
      <c r="I16" s="30"/>
      <c r="J16" s="30"/>
      <c r="K16" s="33"/>
      <c r="L16" s="5"/>
      <c r="M16" s="5"/>
    </row>
    <row r="17" spans="1:13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5"/>
      <c r="M17" s="5"/>
    </row>
    <row r="18" spans="1:13">
      <c r="A18" s="11" t="s">
        <v>40</v>
      </c>
      <c r="B18" s="12" t="s">
        <v>1089</v>
      </c>
      <c r="C18" s="12" t="s">
        <v>1456</v>
      </c>
      <c r="D18" s="12" t="s">
        <v>1089</v>
      </c>
      <c r="E18" s="12"/>
      <c r="F18" s="12" t="s">
        <v>1089</v>
      </c>
      <c r="G18" s="12"/>
      <c r="H18" s="12"/>
      <c r="I18" s="12"/>
      <c r="J18" s="13">
        <v>4282</v>
      </c>
      <c r="K18" s="12" t="s">
        <v>1292</v>
      </c>
      <c r="L18" s="5"/>
      <c r="M18" s="5"/>
    </row>
    <row r="19" spans="1:13">
      <c r="A19" s="5"/>
      <c r="B19" s="13">
        <v>16280</v>
      </c>
      <c r="C19" s="13">
        <v>11826</v>
      </c>
      <c r="D19" s="13">
        <v>1387</v>
      </c>
      <c r="E19" s="13"/>
      <c r="F19" s="13">
        <v>739</v>
      </c>
      <c r="G19" s="13"/>
      <c r="H19" s="13"/>
      <c r="I19" s="13"/>
      <c r="J19" s="13"/>
      <c r="K19" s="14"/>
      <c r="L19" s="5"/>
      <c r="M19" s="5"/>
    </row>
    <row r="20" spans="1:13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5"/>
      <c r="M20" s="5"/>
    </row>
    <row r="21" spans="1:13">
      <c r="A21" s="28" t="s">
        <v>52</v>
      </c>
      <c r="B21" s="32" t="s">
        <v>217</v>
      </c>
      <c r="C21" s="32"/>
      <c r="D21" s="32" t="s">
        <v>217</v>
      </c>
      <c r="E21" s="32"/>
      <c r="F21" s="32" t="s">
        <v>217</v>
      </c>
      <c r="G21" s="32"/>
      <c r="H21" s="32"/>
      <c r="I21" s="29"/>
      <c r="J21" s="30">
        <v>6871</v>
      </c>
      <c r="K21" s="32" t="s">
        <v>218</v>
      </c>
      <c r="L21" s="5"/>
      <c r="M21" s="5"/>
    </row>
    <row r="22" spans="1:13">
      <c r="A22" s="31"/>
      <c r="B22" s="30">
        <v>10087</v>
      </c>
      <c r="C22" s="30"/>
      <c r="D22" s="30">
        <v>930</v>
      </c>
      <c r="E22" s="30"/>
      <c r="F22" s="30">
        <v>563</v>
      </c>
      <c r="G22" s="30"/>
      <c r="H22" s="30"/>
      <c r="I22" s="30"/>
      <c r="J22" s="30"/>
      <c r="K22" s="33"/>
      <c r="L22" s="5"/>
      <c r="M22" s="5"/>
    </row>
    <row r="23" spans="1:13">
      <c r="A23" s="5"/>
      <c r="B23" s="16"/>
      <c r="C23" s="16"/>
      <c r="D23" s="16"/>
      <c r="E23" s="16"/>
      <c r="F23" s="16"/>
      <c r="G23" s="16"/>
      <c r="H23" s="16"/>
      <c r="I23" s="13"/>
      <c r="J23" s="13"/>
      <c r="K23" s="13"/>
      <c r="L23" s="5"/>
      <c r="M23" s="5"/>
    </row>
    <row r="24" spans="1:13">
      <c r="A24" s="11" t="s">
        <v>59</v>
      </c>
      <c r="B24" s="12" t="s">
        <v>1457</v>
      </c>
      <c r="C24" s="12" t="s">
        <v>219</v>
      </c>
      <c r="D24" s="12" t="s">
        <v>219</v>
      </c>
      <c r="E24" s="12" t="s">
        <v>219</v>
      </c>
      <c r="F24" s="12"/>
      <c r="G24" s="12"/>
      <c r="H24" s="12"/>
      <c r="I24" s="12"/>
      <c r="J24" s="13">
        <v>3713</v>
      </c>
      <c r="K24" s="12" t="s">
        <v>220</v>
      </c>
      <c r="L24" s="5"/>
      <c r="M24" s="5"/>
    </row>
    <row r="25" spans="1:13">
      <c r="A25" s="5"/>
      <c r="B25" s="13">
        <v>14111</v>
      </c>
      <c r="C25" s="13">
        <v>17280</v>
      </c>
      <c r="D25" s="13">
        <v>1432</v>
      </c>
      <c r="E25" s="13">
        <v>2499</v>
      </c>
      <c r="F25" s="13"/>
      <c r="G25" s="13"/>
      <c r="H25" s="13"/>
      <c r="I25" s="13"/>
      <c r="J25" s="13"/>
      <c r="K25" s="14"/>
      <c r="L25" s="5"/>
      <c r="M25" s="5"/>
    </row>
    <row r="26" spans="1:13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5"/>
      <c r="M26" s="5"/>
    </row>
    <row r="27" spans="1:13">
      <c r="A27" s="28" t="s">
        <v>64</v>
      </c>
      <c r="B27" s="32" t="s">
        <v>1458</v>
      </c>
      <c r="C27" s="32" t="s">
        <v>1092</v>
      </c>
      <c r="D27" s="32" t="s">
        <v>1092</v>
      </c>
      <c r="E27" s="32" t="s">
        <v>1092</v>
      </c>
      <c r="F27" s="32"/>
      <c r="G27" s="32"/>
      <c r="H27" s="32"/>
      <c r="I27" s="32"/>
      <c r="J27" s="30">
        <v>4890</v>
      </c>
      <c r="K27" s="32" t="s">
        <v>1295</v>
      </c>
      <c r="L27" s="5"/>
      <c r="M27" s="5"/>
    </row>
    <row r="28" spans="1:13">
      <c r="A28" s="31"/>
      <c r="B28" s="30">
        <v>12261</v>
      </c>
      <c r="C28" s="30">
        <v>15644</v>
      </c>
      <c r="D28" s="30">
        <v>1398</v>
      </c>
      <c r="E28" s="30">
        <v>2046</v>
      </c>
      <c r="F28" s="30"/>
      <c r="G28" s="30"/>
      <c r="H28" s="30"/>
      <c r="I28" s="30"/>
      <c r="J28" s="30"/>
      <c r="K28" s="33"/>
      <c r="L28" s="5"/>
      <c r="M28" s="5"/>
    </row>
    <row r="29" spans="1:13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5"/>
      <c r="M29" s="5"/>
    </row>
    <row r="30" spans="1:13">
      <c r="A30" s="11" t="s">
        <v>73</v>
      </c>
      <c r="B30" s="12" t="s">
        <v>1459</v>
      </c>
      <c r="C30" s="12" t="s">
        <v>238</v>
      </c>
      <c r="D30" s="12" t="s">
        <v>238</v>
      </c>
      <c r="E30" s="12" t="s">
        <v>238</v>
      </c>
      <c r="F30" s="12" t="s">
        <v>238</v>
      </c>
      <c r="G30" s="12"/>
      <c r="H30" s="12"/>
      <c r="I30" s="12"/>
      <c r="J30" s="13">
        <v>3154</v>
      </c>
      <c r="K30" s="12" t="s">
        <v>239</v>
      </c>
      <c r="L30" s="5"/>
      <c r="M30" s="5"/>
    </row>
    <row r="31" spans="1:13">
      <c r="A31" s="5"/>
      <c r="B31" s="13">
        <v>13950</v>
      </c>
      <c r="C31" s="13">
        <v>17259</v>
      </c>
      <c r="D31" s="13">
        <v>1942</v>
      </c>
      <c r="E31" s="13">
        <v>2242</v>
      </c>
      <c r="F31" s="13">
        <v>596</v>
      </c>
      <c r="G31" s="13"/>
      <c r="H31" s="13"/>
      <c r="I31" s="13"/>
      <c r="J31" s="13"/>
      <c r="K31" s="14"/>
      <c r="L31" s="5"/>
      <c r="M31" s="5"/>
    </row>
    <row r="32" spans="1:13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5"/>
      <c r="M32" s="5"/>
    </row>
    <row r="33" spans="1:13">
      <c r="A33" s="28" t="s">
        <v>80</v>
      </c>
      <c r="B33" s="32" t="s">
        <v>1460</v>
      </c>
      <c r="C33" s="32" t="s">
        <v>1096</v>
      </c>
      <c r="D33" s="32" t="s">
        <v>1096</v>
      </c>
      <c r="E33" s="32" t="s">
        <v>1097</v>
      </c>
      <c r="F33" s="32" t="s">
        <v>1097</v>
      </c>
      <c r="G33" s="32"/>
      <c r="H33" s="32"/>
      <c r="I33" s="32"/>
      <c r="J33" s="30">
        <v>2741</v>
      </c>
      <c r="K33" s="32" t="s">
        <v>1098</v>
      </c>
      <c r="L33" s="5"/>
      <c r="M33" s="5"/>
    </row>
    <row r="34" spans="1:13">
      <c r="A34" s="31"/>
      <c r="B34" s="30">
        <v>16381</v>
      </c>
      <c r="C34" s="30">
        <v>14840</v>
      </c>
      <c r="D34" s="30">
        <v>1673</v>
      </c>
      <c r="E34" s="30">
        <v>1838</v>
      </c>
      <c r="F34" s="30">
        <v>530</v>
      </c>
      <c r="G34" s="30"/>
      <c r="H34" s="30"/>
      <c r="I34" s="30"/>
      <c r="J34" s="30"/>
      <c r="K34" s="33"/>
      <c r="L34" s="5"/>
      <c r="M34" s="5"/>
    </row>
    <row r="35" spans="1:13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5"/>
      <c r="M35" s="5"/>
    </row>
    <row r="36" spans="1:13">
      <c r="A36" s="11" t="s">
        <v>83</v>
      </c>
      <c r="B36" s="12" t="s">
        <v>939</v>
      </c>
      <c r="C36" s="12"/>
      <c r="D36" s="12" t="s">
        <v>941</v>
      </c>
      <c r="E36" s="15" t="s">
        <v>1461</v>
      </c>
      <c r="F36" s="15" t="s">
        <v>941</v>
      </c>
      <c r="G36" s="15"/>
      <c r="H36" s="15"/>
      <c r="I36" s="12"/>
      <c r="J36" s="13">
        <v>8186</v>
      </c>
      <c r="K36" s="12" t="s">
        <v>942</v>
      </c>
      <c r="L36" s="5"/>
      <c r="M36" s="5"/>
    </row>
    <row r="37" spans="1:13">
      <c r="A37" s="5"/>
      <c r="B37" s="13">
        <v>13315</v>
      </c>
      <c r="C37" s="13"/>
      <c r="D37" s="13">
        <v>1395</v>
      </c>
      <c r="E37" s="13">
        <v>1167</v>
      </c>
      <c r="F37" s="13">
        <v>775</v>
      </c>
      <c r="G37" s="13"/>
      <c r="H37" s="13"/>
      <c r="I37" s="13"/>
      <c r="J37" s="13"/>
      <c r="K37" s="14"/>
      <c r="L37" s="5"/>
      <c r="M37" s="5"/>
    </row>
    <row r="38" spans="1:13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5"/>
      <c r="M38" s="5"/>
    </row>
    <row r="39" spans="1:13">
      <c r="A39" s="28" t="s">
        <v>91</v>
      </c>
      <c r="B39" s="32" t="s">
        <v>1462</v>
      </c>
      <c r="C39" s="32" t="s">
        <v>243</v>
      </c>
      <c r="D39" s="32" t="s">
        <v>243</v>
      </c>
      <c r="E39" s="32" t="s">
        <v>243</v>
      </c>
      <c r="F39" s="32" t="s">
        <v>1604</v>
      </c>
      <c r="G39" s="32"/>
      <c r="H39" s="32"/>
      <c r="I39" s="32"/>
      <c r="J39" s="30">
        <v>3100</v>
      </c>
      <c r="K39" s="32" t="s">
        <v>401</v>
      </c>
      <c r="L39" s="5"/>
      <c r="M39" s="5"/>
    </row>
    <row r="40" spans="1:13">
      <c r="A40" s="31"/>
      <c r="B40" s="30">
        <v>12046</v>
      </c>
      <c r="C40" s="30">
        <v>20050</v>
      </c>
      <c r="D40" s="30">
        <v>1063</v>
      </c>
      <c r="E40" s="30">
        <v>2321</v>
      </c>
      <c r="F40" s="30">
        <v>746</v>
      </c>
      <c r="G40" s="30"/>
      <c r="H40" s="30"/>
      <c r="I40" s="30"/>
      <c r="J40" s="30"/>
      <c r="K40" s="33"/>
      <c r="L40" s="5"/>
      <c r="M40" s="5"/>
    </row>
    <row r="41" spans="1:13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5"/>
      <c r="M41" s="5"/>
    </row>
    <row r="42" spans="1:13">
      <c r="A42" s="11" t="s">
        <v>94</v>
      </c>
      <c r="B42" s="12" t="s">
        <v>244</v>
      </c>
      <c r="C42" s="12" t="s">
        <v>1359</v>
      </c>
      <c r="D42" s="12" t="s">
        <v>244</v>
      </c>
      <c r="E42" s="12" t="s">
        <v>1359</v>
      </c>
      <c r="F42" s="12" t="s">
        <v>244</v>
      </c>
      <c r="G42" s="12"/>
      <c r="H42" s="12"/>
      <c r="I42" s="15"/>
      <c r="J42" s="13">
        <v>3522</v>
      </c>
      <c r="K42" s="12" t="s">
        <v>245</v>
      </c>
      <c r="L42" s="5"/>
      <c r="M42" s="5"/>
    </row>
    <row r="43" spans="1:13">
      <c r="A43" s="5"/>
      <c r="B43" s="13">
        <v>22727</v>
      </c>
      <c r="C43" s="13">
        <v>11341</v>
      </c>
      <c r="D43" s="13">
        <v>821</v>
      </c>
      <c r="E43" s="13">
        <v>1259</v>
      </c>
      <c r="F43" s="13">
        <v>612</v>
      </c>
      <c r="G43" s="13"/>
      <c r="H43" s="13"/>
      <c r="I43" s="13"/>
      <c r="J43" s="13"/>
      <c r="K43" s="14"/>
      <c r="L43" s="5"/>
      <c r="M43" s="5"/>
    </row>
    <row r="44" spans="1:13">
      <c r="A44" s="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5"/>
      <c r="M44" s="5"/>
    </row>
    <row r="45" spans="1:13">
      <c r="A45" s="28" t="s">
        <v>104</v>
      </c>
      <c r="B45" s="32" t="s">
        <v>350</v>
      </c>
      <c r="C45" s="32" t="s">
        <v>1302</v>
      </c>
      <c r="D45" s="32" t="s">
        <v>1302</v>
      </c>
      <c r="E45" s="32" t="s">
        <v>1302</v>
      </c>
      <c r="F45" s="32"/>
      <c r="G45" s="32"/>
      <c r="H45" s="32"/>
      <c r="I45" s="29"/>
      <c r="J45" s="30">
        <v>4023</v>
      </c>
      <c r="K45" s="32" t="s">
        <v>1303</v>
      </c>
      <c r="L45" s="5"/>
      <c r="M45" s="5"/>
    </row>
    <row r="46" spans="1:13">
      <c r="A46" s="31"/>
      <c r="B46" s="30">
        <v>14417</v>
      </c>
      <c r="C46" s="30">
        <v>17567</v>
      </c>
      <c r="D46" s="30">
        <v>1292</v>
      </c>
      <c r="E46" s="30">
        <v>2079</v>
      </c>
      <c r="F46" s="30"/>
      <c r="G46" s="30"/>
      <c r="H46" s="30"/>
      <c r="I46" s="29"/>
      <c r="J46" s="30"/>
      <c r="K46" s="33"/>
      <c r="L46" s="5"/>
      <c r="M46" s="5"/>
    </row>
    <row r="47" spans="1:13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5"/>
      <c r="M47" s="5"/>
    </row>
    <row r="48" spans="1:13">
      <c r="A48" s="11" t="s">
        <v>110</v>
      </c>
      <c r="B48" s="12" t="s">
        <v>1463</v>
      </c>
      <c r="C48" s="12" t="s">
        <v>414</v>
      </c>
      <c r="D48" s="12" t="s">
        <v>414</v>
      </c>
      <c r="E48" s="12" t="s">
        <v>414</v>
      </c>
      <c r="F48" s="12" t="s">
        <v>414</v>
      </c>
      <c r="G48" s="12"/>
      <c r="H48" s="12"/>
      <c r="I48" s="15"/>
      <c r="J48" s="13">
        <v>3756</v>
      </c>
      <c r="K48" s="12" t="s">
        <v>1305</v>
      </c>
      <c r="L48" s="5"/>
      <c r="M48" s="5"/>
    </row>
    <row r="49" spans="1:13">
      <c r="A49" s="5"/>
      <c r="B49" s="13">
        <v>13368</v>
      </c>
      <c r="C49" s="13">
        <v>16049</v>
      </c>
      <c r="D49" s="13">
        <v>1003</v>
      </c>
      <c r="E49" s="13">
        <v>1720</v>
      </c>
      <c r="F49" s="13">
        <v>522</v>
      </c>
      <c r="G49" s="13"/>
      <c r="H49" s="13"/>
      <c r="I49" s="13"/>
      <c r="J49" s="13"/>
      <c r="K49" s="14"/>
      <c r="L49" s="5"/>
      <c r="M49" s="5"/>
    </row>
    <row r="50" spans="1:13">
      <c r="A50" s="5"/>
      <c r="B50" s="15"/>
      <c r="C50" s="15"/>
      <c r="D50" s="15"/>
      <c r="E50" s="15"/>
      <c r="F50" s="15"/>
      <c r="G50" s="15"/>
      <c r="H50" s="15"/>
      <c r="I50" s="15"/>
      <c r="J50" s="13"/>
      <c r="K50" s="13"/>
      <c r="L50" s="5"/>
      <c r="M50" s="5"/>
    </row>
    <row r="51" spans="1:13">
      <c r="A51" s="28" t="s">
        <v>114</v>
      </c>
      <c r="B51" s="32" t="s">
        <v>1464</v>
      </c>
      <c r="C51" s="32" t="s">
        <v>1465</v>
      </c>
      <c r="D51" s="32" t="s">
        <v>1466</v>
      </c>
      <c r="E51" s="32" t="s">
        <v>1465</v>
      </c>
      <c r="F51" s="32" t="s">
        <v>1466</v>
      </c>
      <c r="G51" s="32"/>
      <c r="H51" s="32"/>
      <c r="I51" s="29"/>
      <c r="J51" s="30">
        <v>3017</v>
      </c>
      <c r="K51" s="32" t="s">
        <v>1467</v>
      </c>
      <c r="L51" s="5"/>
      <c r="M51" s="5"/>
    </row>
    <row r="52" spans="1:13">
      <c r="A52" s="31"/>
      <c r="B52" s="30">
        <v>25003</v>
      </c>
      <c r="C52" s="30">
        <v>8488</v>
      </c>
      <c r="D52" s="30">
        <v>1251</v>
      </c>
      <c r="E52" s="30">
        <v>1028</v>
      </c>
      <c r="F52" s="30">
        <v>1042</v>
      </c>
      <c r="G52" s="30"/>
      <c r="H52" s="30"/>
      <c r="I52" s="30"/>
      <c r="J52" s="30"/>
      <c r="K52" s="33"/>
      <c r="L52" s="5"/>
      <c r="M52" s="5"/>
    </row>
    <row r="53" spans="1:13">
      <c r="A53" s="31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5"/>
      <c r="M53" s="5"/>
    </row>
    <row r="54" spans="1:13" ht="17.25">
      <c r="A54" s="28" t="s">
        <v>1598</v>
      </c>
      <c r="B54" s="29" t="s">
        <v>777</v>
      </c>
      <c r="C54" s="29" t="s">
        <v>1468</v>
      </c>
      <c r="D54" s="29" t="s">
        <v>777</v>
      </c>
      <c r="E54" s="29"/>
      <c r="F54" s="29" t="s">
        <v>777</v>
      </c>
      <c r="G54" s="29"/>
      <c r="H54" s="29"/>
      <c r="I54" s="29"/>
      <c r="J54" s="29">
        <v>189</v>
      </c>
      <c r="K54" s="29" t="s">
        <v>778</v>
      </c>
      <c r="L54" s="5"/>
      <c r="M54" s="5"/>
    </row>
    <row r="55" spans="1:13">
      <c r="A55" s="31"/>
      <c r="B55" s="30">
        <v>4944</v>
      </c>
      <c r="C55" s="30">
        <v>933</v>
      </c>
      <c r="D55" s="30">
        <v>249</v>
      </c>
      <c r="E55" s="30"/>
      <c r="F55" s="30">
        <v>422</v>
      </c>
      <c r="G55" s="30"/>
      <c r="H55" s="30"/>
      <c r="I55" s="30"/>
      <c r="J55" s="30"/>
      <c r="K55" s="30"/>
      <c r="L55" s="5"/>
      <c r="M55" s="5"/>
    </row>
    <row r="56" spans="1:13">
      <c r="A56" s="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5"/>
      <c r="M56" s="5"/>
    </row>
    <row r="57" spans="1:13">
      <c r="A57" s="11" t="s">
        <v>128</v>
      </c>
      <c r="B57" s="12" t="s">
        <v>1469</v>
      </c>
      <c r="C57" s="12" t="s">
        <v>252</v>
      </c>
      <c r="D57" s="12" t="s">
        <v>252</v>
      </c>
      <c r="E57" s="12" t="s">
        <v>252</v>
      </c>
      <c r="F57" s="12" t="s">
        <v>1469</v>
      </c>
      <c r="G57" s="12"/>
      <c r="H57" s="12"/>
      <c r="I57" s="15"/>
      <c r="J57" s="13">
        <v>4603</v>
      </c>
      <c r="K57" s="12" t="s">
        <v>253</v>
      </c>
      <c r="L57" s="5"/>
      <c r="M57" s="5"/>
    </row>
    <row r="58" spans="1:13">
      <c r="A58" s="5"/>
      <c r="B58" s="13">
        <v>15887</v>
      </c>
      <c r="C58" s="13">
        <v>16041</v>
      </c>
      <c r="D58" s="13">
        <v>826</v>
      </c>
      <c r="E58" s="13">
        <v>2181</v>
      </c>
      <c r="F58" s="13">
        <v>735</v>
      </c>
      <c r="G58" s="13"/>
      <c r="H58" s="13"/>
      <c r="I58" s="13"/>
      <c r="J58" s="13"/>
      <c r="K58" s="14"/>
      <c r="L58" s="5"/>
      <c r="M58" s="5"/>
    </row>
    <row r="59" spans="1:13">
      <c r="A59" s="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5"/>
      <c r="M59" s="5"/>
    </row>
    <row r="60" spans="1:13">
      <c r="A60" s="28" t="s">
        <v>133</v>
      </c>
      <c r="B60" s="32" t="s">
        <v>221</v>
      </c>
      <c r="C60" s="32" t="s">
        <v>415</v>
      </c>
      <c r="D60" s="32" t="s">
        <v>221</v>
      </c>
      <c r="E60" s="32" t="s">
        <v>415</v>
      </c>
      <c r="F60" s="32"/>
      <c r="G60" s="32"/>
      <c r="H60" s="32"/>
      <c r="I60" s="32"/>
      <c r="J60" s="30">
        <v>3316</v>
      </c>
      <c r="K60" s="32" t="s">
        <v>222</v>
      </c>
      <c r="L60" s="5"/>
      <c r="M60" s="5"/>
    </row>
    <row r="61" spans="1:13">
      <c r="A61" s="31"/>
      <c r="B61" s="30">
        <v>15893</v>
      </c>
      <c r="C61" s="30">
        <v>3117</v>
      </c>
      <c r="D61" s="30">
        <v>694</v>
      </c>
      <c r="E61" s="30">
        <v>463</v>
      </c>
      <c r="F61" s="30"/>
      <c r="G61" s="30"/>
      <c r="H61" s="30"/>
      <c r="I61" s="30"/>
      <c r="J61" s="30"/>
      <c r="K61" s="33"/>
      <c r="L61" s="5"/>
      <c r="M61" s="5"/>
    </row>
    <row r="62" spans="1:13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5"/>
      <c r="M62" s="5"/>
    </row>
    <row r="63" spans="1:13">
      <c r="A63" s="11" t="s">
        <v>138</v>
      </c>
      <c r="B63" s="12" t="s">
        <v>1470</v>
      </c>
      <c r="C63" s="12" t="s">
        <v>213</v>
      </c>
      <c r="D63" s="12" t="s">
        <v>213</v>
      </c>
      <c r="E63" s="12" t="s">
        <v>213</v>
      </c>
      <c r="F63" s="12"/>
      <c r="G63" s="12"/>
      <c r="H63" s="12"/>
      <c r="I63" s="15"/>
      <c r="J63" s="13">
        <v>4243</v>
      </c>
      <c r="K63" s="12" t="s">
        <v>214</v>
      </c>
      <c r="L63" s="5"/>
      <c r="M63" s="5"/>
    </row>
    <row r="64" spans="1:13">
      <c r="A64" s="5"/>
      <c r="B64" s="13">
        <v>15627</v>
      </c>
      <c r="C64" s="13">
        <v>17684</v>
      </c>
      <c r="D64" s="13">
        <v>1020</v>
      </c>
      <c r="E64" s="13">
        <v>1977</v>
      </c>
      <c r="F64" s="13"/>
      <c r="G64" s="13"/>
      <c r="H64" s="13"/>
      <c r="I64" s="13"/>
      <c r="J64" s="13"/>
      <c r="K64" s="14"/>
      <c r="L64" s="5"/>
      <c r="M64" s="5"/>
    </row>
    <row r="65" spans="1:13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5"/>
      <c r="M65" s="5"/>
    </row>
    <row r="66" spans="1:13">
      <c r="A66" s="28" t="s">
        <v>141</v>
      </c>
      <c r="B66" s="32" t="s">
        <v>947</v>
      </c>
      <c r="C66" s="32" t="s">
        <v>1471</v>
      </c>
      <c r="D66" s="32" t="s">
        <v>949</v>
      </c>
      <c r="E66" s="32" t="s">
        <v>1471</v>
      </c>
      <c r="F66" s="32" t="s">
        <v>949</v>
      </c>
      <c r="G66" s="32"/>
      <c r="H66" s="32"/>
      <c r="I66" s="29"/>
      <c r="J66" s="30">
        <v>2929</v>
      </c>
      <c r="K66" s="32" t="s">
        <v>951</v>
      </c>
      <c r="L66" s="5"/>
      <c r="M66" s="5"/>
    </row>
    <row r="67" spans="1:13">
      <c r="A67" s="31"/>
      <c r="B67" s="30">
        <v>22544</v>
      </c>
      <c r="C67" s="30">
        <v>9290</v>
      </c>
      <c r="D67" s="30">
        <v>1173</v>
      </c>
      <c r="E67" s="30">
        <v>950</v>
      </c>
      <c r="F67" s="30">
        <v>763</v>
      </c>
      <c r="G67" s="30"/>
      <c r="H67" s="30"/>
      <c r="I67" s="30"/>
      <c r="J67" s="30"/>
      <c r="K67" s="33"/>
      <c r="L67" s="5"/>
      <c r="M67" s="5"/>
    </row>
    <row r="68" spans="1:13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5"/>
      <c r="M68" s="5"/>
    </row>
    <row r="69" spans="1:13">
      <c r="A69" s="11" t="s">
        <v>147</v>
      </c>
      <c r="B69" s="12" t="s">
        <v>1472</v>
      </c>
      <c r="C69" s="12" t="s">
        <v>1312</v>
      </c>
      <c r="D69" s="12" t="s">
        <v>1312</v>
      </c>
      <c r="E69" s="12" t="s">
        <v>1312</v>
      </c>
      <c r="F69" s="12" t="s">
        <v>1312</v>
      </c>
      <c r="G69" s="12"/>
      <c r="H69" s="12"/>
      <c r="I69" s="15"/>
      <c r="J69" s="13">
        <v>3230</v>
      </c>
      <c r="K69" s="12" t="s">
        <v>1313</v>
      </c>
      <c r="L69" s="5"/>
      <c r="M69" s="5"/>
    </row>
    <row r="70" spans="1:13">
      <c r="A70" s="5"/>
      <c r="B70" s="13">
        <v>11168</v>
      </c>
      <c r="C70" s="13">
        <v>17195</v>
      </c>
      <c r="D70" s="13">
        <v>1226</v>
      </c>
      <c r="E70" s="13">
        <v>1727</v>
      </c>
      <c r="F70" s="13">
        <v>667</v>
      </c>
      <c r="G70" s="13"/>
      <c r="H70" s="13"/>
      <c r="I70" s="13"/>
      <c r="J70" s="13"/>
      <c r="K70" s="14"/>
      <c r="L70" s="5"/>
      <c r="M70" s="5"/>
    </row>
    <row r="71" spans="1:13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5"/>
      <c r="M71" s="5"/>
    </row>
    <row r="72" spans="1:13">
      <c r="A72" s="34" t="s">
        <v>152</v>
      </c>
      <c r="B72" s="32" t="s">
        <v>1314</v>
      </c>
      <c r="C72" s="32" t="s">
        <v>1473</v>
      </c>
      <c r="D72" s="32" t="s">
        <v>1314</v>
      </c>
      <c r="E72" s="32" t="s">
        <v>1473</v>
      </c>
      <c r="F72" s="32"/>
      <c r="G72" s="32"/>
      <c r="H72" s="32"/>
      <c r="I72" s="32"/>
      <c r="J72" s="30">
        <v>2820</v>
      </c>
      <c r="K72" s="32" t="s">
        <v>1474</v>
      </c>
      <c r="L72" s="31"/>
      <c r="M72" s="5"/>
    </row>
    <row r="73" spans="1:13">
      <c r="A73" s="31"/>
      <c r="B73" s="30">
        <v>7887</v>
      </c>
      <c r="C73" s="30">
        <v>1889</v>
      </c>
      <c r="D73" s="30">
        <v>324</v>
      </c>
      <c r="E73" s="30">
        <v>311</v>
      </c>
      <c r="F73" s="30"/>
      <c r="G73" s="30"/>
      <c r="H73" s="30"/>
      <c r="I73" s="30"/>
      <c r="J73" s="30"/>
      <c r="K73" s="33"/>
      <c r="L73" s="31"/>
      <c r="M73" s="5"/>
    </row>
    <row r="74" spans="1:13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5"/>
      <c r="M74" s="5"/>
    </row>
    <row r="75" spans="1:13">
      <c r="A75" s="11" t="s">
        <v>156</v>
      </c>
      <c r="B75" s="12" t="s">
        <v>1110</v>
      </c>
      <c r="C75" s="12" t="s">
        <v>1475</v>
      </c>
      <c r="D75" s="12" t="s">
        <v>1475</v>
      </c>
      <c r="E75" s="12" t="s">
        <v>1475</v>
      </c>
      <c r="F75" s="12" t="s">
        <v>1112</v>
      </c>
      <c r="G75" s="12"/>
      <c r="H75" s="12"/>
      <c r="I75" s="15"/>
      <c r="J75" s="13">
        <v>2846</v>
      </c>
      <c r="K75" s="12" t="s">
        <v>1113</v>
      </c>
      <c r="L75" s="5"/>
      <c r="M75" s="5"/>
    </row>
    <row r="76" spans="1:13">
      <c r="A76" s="5"/>
      <c r="B76" s="13">
        <v>13580</v>
      </c>
      <c r="C76" s="13">
        <v>3504</v>
      </c>
      <c r="D76" s="13">
        <v>199</v>
      </c>
      <c r="E76" s="13">
        <v>646</v>
      </c>
      <c r="F76" s="13">
        <v>893</v>
      </c>
      <c r="G76" s="13"/>
      <c r="H76" s="13"/>
      <c r="I76" s="13"/>
      <c r="J76" s="13"/>
      <c r="K76" s="14"/>
      <c r="L76" s="5"/>
      <c r="M76" s="5"/>
    </row>
    <row r="77" spans="1:13">
      <c r="A77" s="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5"/>
      <c r="M77" s="5"/>
    </row>
    <row r="78" spans="1:13">
      <c r="A78" s="34" t="s">
        <v>163</v>
      </c>
      <c r="B78" s="32" t="s">
        <v>164</v>
      </c>
      <c r="C78" s="32"/>
      <c r="D78" s="32"/>
      <c r="E78" s="32"/>
      <c r="F78" s="32" t="s">
        <v>789</v>
      </c>
      <c r="G78" s="32"/>
      <c r="H78" s="32"/>
      <c r="I78" s="29"/>
      <c r="J78" s="30">
        <v>7702</v>
      </c>
      <c r="K78" s="32" t="s">
        <v>1476</v>
      </c>
      <c r="L78" s="5"/>
      <c r="M78" s="5"/>
    </row>
    <row r="79" spans="1:13">
      <c r="A79" s="31"/>
      <c r="B79" s="30">
        <v>18159</v>
      </c>
      <c r="C79" s="30"/>
      <c r="D79" s="30"/>
      <c r="E79" s="30"/>
      <c r="F79" s="30">
        <v>1147</v>
      </c>
      <c r="G79" s="30"/>
      <c r="H79" s="30"/>
      <c r="I79" s="30"/>
      <c r="J79" s="30"/>
      <c r="K79" s="33"/>
      <c r="L79" s="5"/>
      <c r="M79" s="5"/>
    </row>
    <row r="80" spans="1:13">
      <c r="A80" s="5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5"/>
      <c r="M80" s="5"/>
    </row>
    <row r="81" spans="1:13">
      <c r="A81" s="11" t="s">
        <v>168</v>
      </c>
      <c r="B81" s="12" t="s">
        <v>1116</v>
      </c>
      <c r="C81" s="12" t="s">
        <v>1477</v>
      </c>
      <c r="D81" s="12"/>
      <c r="E81" s="12"/>
      <c r="F81" s="12" t="s">
        <v>1116</v>
      </c>
      <c r="G81" s="12"/>
      <c r="H81" s="12"/>
      <c r="I81" s="15"/>
      <c r="J81" s="13">
        <v>3624</v>
      </c>
      <c r="K81" s="12" t="s">
        <v>1117</v>
      </c>
      <c r="L81" s="5"/>
      <c r="M81" s="5"/>
    </row>
    <row r="82" spans="1:13">
      <c r="A82" s="5"/>
      <c r="B82" s="13">
        <v>9849</v>
      </c>
      <c r="C82" s="13">
        <v>2656</v>
      </c>
      <c r="D82" s="13"/>
      <c r="E82" s="13"/>
      <c r="F82" s="13">
        <v>546</v>
      </c>
      <c r="G82" s="13"/>
      <c r="H82" s="13"/>
      <c r="I82" s="13"/>
      <c r="J82" s="13"/>
      <c r="K82" s="14"/>
      <c r="L82" s="5"/>
      <c r="M82" s="5"/>
    </row>
    <row r="83" spans="1:13">
      <c r="A83" s="5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5"/>
      <c r="M83" s="5"/>
    </row>
    <row r="84" spans="1:13">
      <c r="A84" s="28" t="s">
        <v>174</v>
      </c>
      <c r="B84" s="32" t="s">
        <v>1316</v>
      </c>
      <c r="C84" s="32"/>
      <c r="D84" s="32"/>
      <c r="E84" s="32"/>
      <c r="F84" s="32" t="s">
        <v>1440</v>
      </c>
      <c r="G84" s="32"/>
      <c r="H84" s="32"/>
      <c r="I84" s="32"/>
      <c r="J84" s="30">
        <v>9307</v>
      </c>
      <c r="K84" s="32" t="s">
        <v>1318</v>
      </c>
      <c r="L84" s="5"/>
      <c r="M84" s="5"/>
    </row>
    <row r="85" spans="1:13">
      <c r="A85" s="31"/>
      <c r="B85" s="30">
        <v>17332</v>
      </c>
      <c r="C85" s="30"/>
      <c r="D85" s="30"/>
      <c r="E85" s="30"/>
      <c r="F85" s="30">
        <v>1171</v>
      </c>
      <c r="G85" s="30"/>
      <c r="H85" s="30"/>
      <c r="I85" s="30"/>
      <c r="J85" s="30"/>
      <c r="K85" s="33"/>
      <c r="L85" s="5"/>
      <c r="M85" s="5"/>
    </row>
    <row r="86" spans="1:13">
      <c r="A86" s="5"/>
      <c r="B86" s="13"/>
      <c r="C86" s="13"/>
      <c r="D86" s="13"/>
      <c r="E86" s="13"/>
      <c r="F86" s="13"/>
      <c r="G86" s="13"/>
      <c r="H86" s="13"/>
      <c r="I86" s="13"/>
      <c r="J86" s="13"/>
      <c r="K86" s="5"/>
      <c r="L86" s="5"/>
      <c r="M86" s="5"/>
    </row>
    <row r="87" spans="1:13">
      <c r="A87" s="8" t="s">
        <v>176</v>
      </c>
      <c r="B87" s="12" t="s">
        <v>1119</v>
      </c>
      <c r="C87" s="12"/>
      <c r="D87" s="12" t="s">
        <v>1119</v>
      </c>
      <c r="E87" s="12" t="s">
        <v>1479</v>
      </c>
      <c r="F87" s="12"/>
      <c r="G87" s="12"/>
      <c r="H87" s="12"/>
      <c r="I87" s="15"/>
      <c r="J87" s="13">
        <v>5923</v>
      </c>
      <c r="K87" s="12" t="s">
        <v>1121</v>
      </c>
      <c r="L87" s="5"/>
      <c r="M87" s="5"/>
    </row>
    <row r="88" spans="1:13">
      <c r="A88" s="5"/>
      <c r="B88" s="13">
        <v>12036</v>
      </c>
      <c r="C88" s="13"/>
      <c r="D88" s="13">
        <v>570</v>
      </c>
      <c r="E88" s="13">
        <v>769</v>
      </c>
      <c r="F88" s="13"/>
      <c r="G88" s="13"/>
      <c r="H88" s="13"/>
      <c r="I88" s="13"/>
      <c r="J88" s="13"/>
      <c r="K88" s="14"/>
      <c r="L88" s="5"/>
      <c r="M88" s="5"/>
    </row>
    <row r="89" spans="1:13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4"/>
      <c r="L89" s="5"/>
      <c r="M89" s="5"/>
    </row>
    <row r="90" spans="1:13">
      <c r="A90" s="34" t="s">
        <v>179</v>
      </c>
      <c r="B90" s="29" t="s">
        <v>256</v>
      </c>
      <c r="C90" s="29" t="s">
        <v>1480</v>
      </c>
      <c r="D90" s="29"/>
      <c r="E90" s="29" t="s">
        <v>1480</v>
      </c>
      <c r="F90" s="29" t="s">
        <v>256</v>
      </c>
      <c r="G90" s="29"/>
      <c r="H90" s="29"/>
      <c r="I90" s="29"/>
      <c r="J90" s="30">
        <v>3889</v>
      </c>
      <c r="K90" s="29" t="s">
        <v>257</v>
      </c>
      <c r="L90" s="5"/>
      <c r="M90" s="5"/>
    </row>
    <row r="91" spans="1:13">
      <c r="A91" s="31"/>
      <c r="B91" s="30">
        <v>14007</v>
      </c>
      <c r="C91" s="30">
        <v>4925</v>
      </c>
      <c r="D91" s="30"/>
      <c r="E91" s="30">
        <v>728</v>
      </c>
      <c r="F91" s="30">
        <v>783</v>
      </c>
      <c r="G91" s="30"/>
      <c r="H91" s="30"/>
      <c r="I91" s="30"/>
      <c r="J91" s="30"/>
      <c r="K91" s="30"/>
      <c r="L91" s="5"/>
      <c r="M91" s="5"/>
    </row>
    <row r="92" spans="1:13">
      <c r="A92" s="5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5"/>
      <c r="M92" s="5"/>
    </row>
    <row r="93" spans="1:13">
      <c r="A93" s="11" t="s">
        <v>181</v>
      </c>
      <c r="B93" s="12" t="s">
        <v>790</v>
      </c>
      <c r="C93" s="12"/>
      <c r="D93" s="12"/>
      <c r="E93" s="12"/>
      <c r="F93" s="12" t="s">
        <v>790</v>
      </c>
      <c r="G93" s="12"/>
      <c r="H93" s="12"/>
      <c r="I93" s="15"/>
      <c r="J93" s="13">
        <v>5145</v>
      </c>
      <c r="K93" s="15" t="s">
        <v>792</v>
      </c>
      <c r="L93" s="5"/>
      <c r="M93" s="5"/>
    </row>
    <row r="94" spans="1:13">
      <c r="A94" s="5"/>
      <c r="B94" s="13">
        <v>15215</v>
      </c>
      <c r="C94" s="13"/>
      <c r="D94" s="13"/>
      <c r="E94" s="13"/>
      <c r="F94" s="13">
        <v>682</v>
      </c>
      <c r="G94" s="13"/>
      <c r="H94" s="13"/>
      <c r="I94" s="13"/>
      <c r="J94" s="13"/>
      <c r="K94" s="13"/>
      <c r="L94" s="5"/>
      <c r="M94" s="5"/>
    </row>
    <row r="95" spans="1:13">
      <c r="A95" s="5"/>
      <c r="B95" s="13"/>
      <c r="C95" s="13"/>
      <c r="D95" s="13"/>
      <c r="E95" s="13"/>
      <c r="F95" s="13"/>
      <c r="G95" s="13"/>
      <c r="H95" s="13"/>
      <c r="I95" s="13"/>
      <c r="J95" s="13"/>
      <c r="K95" s="5"/>
      <c r="L95" s="5"/>
      <c r="M95" s="5"/>
    </row>
    <row r="96" spans="1:13">
      <c r="A96" s="33" t="s">
        <v>4</v>
      </c>
      <c r="B96" s="32" t="s">
        <v>793</v>
      </c>
      <c r="C96" s="32"/>
      <c r="D96" s="32"/>
      <c r="E96" s="32"/>
      <c r="F96" s="32"/>
      <c r="G96" s="32"/>
      <c r="H96" s="32"/>
      <c r="I96" s="32"/>
      <c r="J96" s="30">
        <v>7000</v>
      </c>
      <c r="K96" s="32" t="s">
        <v>794</v>
      </c>
      <c r="L96" s="5"/>
      <c r="M96" s="5"/>
    </row>
    <row r="97" spans="1:13">
      <c r="A97" s="30"/>
      <c r="B97" s="30">
        <v>10504</v>
      </c>
      <c r="C97" s="30"/>
      <c r="D97" s="30"/>
      <c r="E97" s="30"/>
      <c r="F97" s="30"/>
      <c r="G97" s="30"/>
      <c r="H97" s="30"/>
      <c r="I97" s="30"/>
      <c r="J97" s="30"/>
      <c r="K97" s="33"/>
      <c r="L97" s="5"/>
      <c r="M97" s="5"/>
    </row>
    <row r="98" spans="1:13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5"/>
      <c r="M98" s="5"/>
    </row>
    <row r="99" spans="1:13">
      <c r="A99" s="14" t="s">
        <v>12</v>
      </c>
      <c r="B99" s="12" t="s">
        <v>223</v>
      </c>
      <c r="C99" s="12"/>
      <c r="D99" s="12" t="s">
        <v>1481</v>
      </c>
      <c r="E99" s="12"/>
      <c r="F99" s="12" t="s">
        <v>223</v>
      </c>
      <c r="G99" s="12"/>
      <c r="H99" s="12"/>
      <c r="I99" s="12"/>
      <c r="J99" s="13">
        <v>4125</v>
      </c>
      <c r="K99" s="12" t="s">
        <v>1482</v>
      </c>
      <c r="L99" s="5"/>
      <c r="M99" s="5"/>
    </row>
    <row r="100" spans="1:13">
      <c r="A100" s="13"/>
      <c r="B100" s="13">
        <v>10607</v>
      </c>
      <c r="C100" s="13"/>
      <c r="D100" s="13">
        <v>1037</v>
      </c>
      <c r="E100" s="13"/>
      <c r="F100" s="13">
        <v>465</v>
      </c>
      <c r="G100" s="13"/>
      <c r="H100" s="13"/>
      <c r="I100" s="13"/>
      <c r="J100" s="13"/>
      <c r="K100" s="14"/>
      <c r="L100" s="5"/>
      <c r="M100" s="5"/>
    </row>
    <row r="101" spans="1:13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5"/>
      <c r="M101" s="5"/>
    </row>
    <row r="102" spans="1:13">
      <c r="A102" s="33" t="s">
        <v>19</v>
      </c>
      <c r="B102" s="32" t="s">
        <v>20</v>
      </c>
      <c r="C102" s="32"/>
      <c r="D102" s="32"/>
      <c r="E102" s="32"/>
      <c r="F102" s="32"/>
      <c r="G102" s="32"/>
      <c r="H102" s="32"/>
      <c r="I102" s="32"/>
      <c r="J102" s="30">
        <v>5451</v>
      </c>
      <c r="K102" s="32" t="s">
        <v>21</v>
      </c>
      <c r="L102" s="5"/>
      <c r="M102" s="5"/>
    </row>
    <row r="103" spans="1:13">
      <c r="A103" s="30"/>
      <c r="B103" s="30">
        <v>13727</v>
      </c>
      <c r="C103" s="30"/>
      <c r="D103" s="30"/>
      <c r="E103" s="30"/>
      <c r="F103" s="30"/>
      <c r="G103" s="30"/>
      <c r="H103" s="30"/>
      <c r="I103" s="30"/>
      <c r="J103" s="30"/>
      <c r="K103" s="33"/>
      <c r="L103" s="5"/>
      <c r="M103" s="5"/>
    </row>
    <row r="104" spans="1:1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5"/>
      <c r="M104" s="5"/>
    </row>
    <row r="105" spans="1:13">
      <c r="A105" s="14" t="s">
        <v>30</v>
      </c>
      <c r="B105" s="12" t="s">
        <v>795</v>
      </c>
      <c r="C105" s="12"/>
      <c r="D105" s="12"/>
      <c r="E105" s="12"/>
      <c r="F105" s="12" t="s">
        <v>796</v>
      </c>
      <c r="G105" s="12"/>
      <c r="H105" s="12"/>
      <c r="I105" s="12"/>
      <c r="J105" s="13">
        <v>5705</v>
      </c>
      <c r="K105" s="12" t="s">
        <v>797</v>
      </c>
      <c r="L105" s="5"/>
      <c r="M105" s="5"/>
    </row>
    <row r="106" spans="1:13">
      <c r="A106" s="13"/>
      <c r="B106" s="13">
        <v>16065</v>
      </c>
      <c r="C106" s="13"/>
      <c r="D106" s="13"/>
      <c r="E106" s="13"/>
      <c r="F106" s="13">
        <v>928</v>
      </c>
      <c r="G106" s="13"/>
      <c r="H106" s="13"/>
      <c r="I106" s="14"/>
      <c r="J106" s="13"/>
      <c r="K106" s="14"/>
      <c r="L106" s="5"/>
      <c r="M106" s="5"/>
    </row>
    <row r="107" spans="1:13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5"/>
      <c r="M107" s="5"/>
    </row>
    <row r="108" spans="1:13">
      <c r="A108" s="33" t="s">
        <v>34</v>
      </c>
      <c r="B108" s="32" t="s">
        <v>1483</v>
      </c>
      <c r="C108" s="32"/>
      <c r="D108" s="32"/>
      <c r="E108" s="32"/>
      <c r="F108" s="32" t="s">
        <v>1605</v>
      </c>
      <c r="G108" s="32"/>
      <c r="H108" s="32"/>
      <c r="I108" s="32"/>
      <c r="J108" s="30">
        <v>4672</v>
      </c>
      <c r="K108" s="32" t="s">
        <v>1484</v>
      </c>
      <c r="L108" s="5"/>
      <c r="M108" s="5"/>
    </row>
    <row r="109" spans="1:13">
      <c r="A109" s="30"/>
      <c r="B109" s="30">
        <v>9213</v>
      </c>
      <c r="C109" s="30"/>
      <c r="D109" s="30"/>
      <c r="E109" s="30"/>
      <c r="F109" s="30">
        <v>559</v>
      </c>
      <c r="G109" s="30"/>
      <c r="H109" s="30"/>
      <c r="I109" s="33"/>
      <c r="J109" s="30"/>
      <c r="K109" s="33"/>
      <c r="L109" s="5"/>
      <c r="M109" s="5"/>
    </row>
    <row r="110" spans="1:13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5"/>
      <c r="M110" s="5"/>
    </row>
    <row r="111" spans="1:13">
      <c r="A111" s="14" t="s">
        <v>41</v>
      </c>
      <c r="B111" s="12" t="s">
        <v>42</v>
      </c>
      <c r="C111" s="12"/>
      <c r="D111" s="12"/>
      <c r="E111" s="12"/>
      <c r="F111" s="12"/>
      <c r="G111" s="12"/>
      <c r="H111" s="12"/>
      <c r="I111" s="12"/>
      <c r="J111" s="13">
        <v>4882</v>
      </c>
      <c r="K111" s="12" t="s">
        <v>43</v>
      </c>
      <c r="L111" s="5"/>
      <c r="M111" s="5"/>
    </row>
    <row r="112" spans="1:13">
      <c r="A112" s="13"/>
      <c r="B112" s="13">
        <v>8597</v>
      </c>
      <c r="C112" s="13"/>
      <c r="D112" s="13"/>
      <c r="E112" s="13"/>
      <c r="F112" s="13"/>
      <c r="G112" s="13"/>
      <c r="H112" s="13"/>
      <c r="I112" s="14"/>
      <c r="J112" s="13"/>
      <c r="K112" s="14"/>
      <c r="L112" s="5"/>
      <c r="M112" s="5"/>
    </row>
    <row r="113" spans="1: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5"/>
      <c r="M113" s="5"/>
    </row>
    <row r="114" spans="1:13">
      <c r="A114" s="33" t="s">
        <v>47</v>
      </c>
      <c r="B114" s="32" t="s">
        <v>1321</v>
      </c>
      <c r="C114" s="32"/>
      <c r="D114" s="32"/>
      <c r="E114" s="32"/>
      <c r="F114" s="32" t="s">
        <v>1321</v>
      </c>
      <c r="G114" s="32"/>
      <c r="H114" s="32"/>
      <c r="I114" s="32"/>
      <c r="J114" s="30">
        <v>4904</v>
      </c>
      <c r="K114" s="32" t="s">
        <v>1322</v>
      </c>
      <c r="L114" s="5"/>
      <c r="M114" s="5"/>
    </row>
    <row r="115" spans="1:13">
      <c r="A115" s="30"/>
      <c r="B115" s="30">
        <v>11540</v>
      </c>
      <c r="C115" s="30"/>
      <c r="D115" s="30"/>
      <c r="E115" s="30"/>
      <c r="F115" s="30">
        <v>1035</v>
      </c>
      <c r="G115" s="30"/>
      <c r="H115" s="30"/>
      <c r="I115" s="30"/>
      <c r="J115" s="30"/>
      <c r="K115" s="33"/>
      <c r="L115" s="5"/>
      <c r="M115" s="5"/>
    </row>
    <row r="116" spans="1:13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5"/>
      <c r="M116" s="5"/>
    </row>
    <row r="117" spans="1:13">
      <c r="A117" s="14" t="s">
        <v>53</v>
      </c>
      <c r="B117" s="12" t="s">
        <v>54</v>
      </c>
      <c r="C117" s="12"/>
      <c r="D117" s="12"/>
      <c r="E117" s="12"/>
      <c r="F117" s="12"/>
      <c r="G117" s="12"/>
      <c r="H117" s="12"/>
      <c r="I117" s="15"/>
      <c r="J117" s="13">
        <v>4598</v>
      </c>
      <c r="K117" s="12" t="s">
        <v>55</v>
      </c>
      <c r="L117" s="5"/>
      <c r="M117" s="5"/>
    </row>
    <row r="118" spans="1:13">
      <c r="A118" s="13"/>
      <c r="B118" s="13">
        <v>10102</v>
      </c>
      <c r="C118" s="13"/>
      <c r="D118" s="13"/>
      <c r="E118" s="13"/>
      <c r="F118" s="13"/>
      <c r="G118" s="13"/>
      <c r="H118" s="13"/>
      <c r="I118" s="13"/>
      <c r="J118" s="13"/>
      <c r="K118" s="14"/>
      <c r="L118" s="5"/>
      <c r="M118" s="5"/>
    </row>
    <row r="119" spans="1:1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5"/>
      <c r="M119" s="5"/>
    </row>
    <row r="120" spans="1:13">
      <c r="A120" s="33" t="s">
        <v>61</v>
      </c>
      <c r="B120" s="32" t="s">
        <v>1323</v>
      </c>
      <c r="C120" s="32" t="s">
        <v>1323</v>
      </c>
      <c r="D120" s="32" t="s">
        <v>1323</v>
      </c>
      <c r="E120" s="32" t="s">
        <v>1323</v>
      </c>
      <c r="F120" s="32"/>
      <c r="G120" s="32"/>
      <c r="H120" s="32"/>
      <c r="I120" s="32"/>
      <c r="J120" s="30">
        <v>2683</v>
      </c>
      <c r="K120" s="32" t="s">
        <v>1324</v>
      </c>
      <c r="L120" s="5"/>
      <c r="M120" s="5"/>
    </row>
    <row r="121" spans="1:13">
      <c r="A121" s="30"/>
      <c r="B121" s="30">
        <v>7089</v>
      </c>
      <c r="C121" s="30">
        <v>2866</v>
      </c>
      <c r="D121" s="30">
        <v>287</v>
      </c>
      <c r="E121" s="30">
        <v>607</v>
      </c>
      <c r="F121" s="30"/>
      <c r="G121" s="30"/>
      <c r="H121" s="30"/>
      <c r="I121" s="30"/>
      <c r="J121" s="30"/>
      <c r="K121" s="33"/>
      <c r="L121" s="5"/>
      <c r="M121" s="5"/>
    </row>
    <row r="122" spans="1:1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5"/>
      <c r="M122" s="5"/>
    </row>
    <row r="123" spans="1:13">
      <c r="A123" s="14" t="s">
        <v>65</v>
      </c>
      <c r="B123" s="12" t="s">
        <v>1325</v>
      </c>
      <c r="C123" s="12"/>
      <c r="D123" s="12"/>
      <c r="E123" s="12"/>
      <c r="F123" s="12" t="s">
        <v>1325</v>
      </c>
      <c r="G123" s="12"/>
      <c r="H123" s="12"/>
      <c r="I123" s="12"/>
      <c r="J123" s="13">
        <v>3248</v>
      </c>
      <c r="K123" s="12" t="s">
        <v>1326</v>
      </c>
      <c r="L123" s="5"/>
      <c r="M123" s="5"/>
    </row>
    <row r="124" spans="1:13">
      <c r="A124" s="13"/>
      <c r="B124" s="13">
        <v>6731</v>
      </c>
      <c r="C124" s="13"/>
      <c r="D124" s="13"/>
      <c r="E124" s="13"/>
      <c r="F124" s="13">
        <v>350</v>
      </c>
      <c r="G124" s="13"/>
      <c r="H124" s="13"/>
      <c r="I124" s="14"/>
      <c r="J124" s="13"/>
      <c r="K124" s="14"/>
      <c r="L124" s="5"/>
      <c r="M124" s="5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5"/>
      <c r="M125" s="5"/>
    </row>
    <row r="126" spans="1:13">
      <c r="A126" s="33" t="s">
        <v>71</v>
      </c>
      <c r="B126" s="32" t="s">
        <v>1214</v>
      </c>
      <c r="C126" s="32" t="s">
        <v>1485</v>
      </c>
      <c r="D126" s="32"/>
      <c r="E126" s="32" t="s">
        <v>1485</v>
      </c>
      <c r="F126" s="32"/>
      <c r="G126" s="32"/>
      <c r="H126" s="32"/>
      <c r="I126" s="32"/>
      <c r="J126" s="30">
        <v>5584</v>
      </c>
      <c r="K126" s="32" t="s">
        <v>1486</v>
      </c>
      <c r="L126" s="5"/>
      <c r="M126" s="5"/>
    </row>
    <row r="127" spans="1:13">
      <c r="A127" s="30"/>
      <c r="B127" s="30">
        <v>12316</v>
      </c>
      <c r="C127" s="30">
        <v>567</v>
      </c>
      <c r="D127" s="30"/>
      <c r="E127" s="30">
        <v>200</v>
      </c>
      <c r="F127" s="30"/>
      <c r="G127" s="30"/>
      <c r="H127" s="30"/>
      <c r="I127" s="33"/>
      <c r="J127" s="30"/>
      <c r="K127" s="33"/>
      <c r="L127" s="5"/>
      <c r="M127" s="5"/>
    </row>
    <row r="128" spans="1:1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5"/>
      <c r="M128" s="5"/>
    </row>
    <row r="129" spans="1:13">
      <c r="A129" s="14" t="s">
        <v>75</v>
      </c>
      <c r="B129" s="12" t="s">
        <v>76</v>
      </c>
      <c r="C129" s="12" t="s">
        <v>1487</v>
      </c>
      <c r="D129" s="12"/>
      <c r="E129" s="12" t="s">
        <v>1488</v>
      </c>
      <c r="F129" s="12" t="s">
        <v>306</v>
      </c>
      <c r="G129" s="12"/>
      <c r="H129" s="12"/>
      <c r="I129" s="12"/>
      <c r="J129" s="13">
        <v>3706</v>
      </c>
      <c r="K129" s="12" t="s">
        <v>77</v>
      </c>
      <c r="L129" s="5"/>
      <c r="M129" s="5"/>
    </row>
    <row r="130" spans="1:13">
      <c r="A130" s="13"/>
      <c r="B130" s="13">
        <v>14340</v>
      </c>
      <c r="C130" s="13">
        <v>1967</v>
      </c>
      <c r="D130" s="13"/>
      <c r="E130" s="13">
        <v>461</v>
      </c>
      <c r="F130" s="13">
        <v>698</v>
      </c>
      <c r="G130" s="13"/>
      <c r="H130" s="13"/>
      <c r="I130" s="13"/>
      <c r="J130" s="13"/>
      <c r="K130" s="14"/>
      <c r="L130" s="5"/>
      <c r="M130" s="5"/>
    </row>
    <row r="131" spans="1:1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5"/>
      <c r="M131" s="5"/>
    </row>
    <row r="132" spans="1:13">
      <c r="A132" s="33" t="s">
        <v>82</v>
      </c>
      <c r="B132" s="32" t="s">
        <v>961</v>
      </c>
      <c r="C132" s="32" t="s">
        <v>858</v>
      </c>
      <c r="D132" s="32"/>
      <c r="E132" s="32"/>
      <c r="F132" s="32"/>
      <c r="G132" s="32"/>
      <c r="H132" s="32"/>
      <c r="I132" s="32"/>
      <c r="J132" s="30">
        <v>4758</v>
      </c>
      <c r="K132" s="32" t="s">
        <v>963</v>
      </c>
      <c r="L132" s="5"/>
      <c r="M132" s="5"/>
    </row>
    <row r="133" spans="1:13">
      <c r="A133" s="30"/>
      <c r="B133" s="30">
        <v>11073</v>
      </c>
      <c r="C133" s="30">
        <v>697</v>
      </c>
      <c r="D133" s="30"/>
      <c r="E133" s="30"/>
      <c r="F133" s="30"/>
      <c r="G133" s="30"/>
      <c r="H133" s="30"/>
      <c r="I133" s="30"/>
      <c r="J133" s="30"/>
      <c r="K133" s="33"/>
      <c r="L133" s="5"/>
      <c r="M133" s="5"/>
    </row>
    <row r="134" spans="1:1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5"/>
      <c r="M134" s="5"/>
    </row>
    <row r="135" spans="1:13">
      <c r="A135" s="14" t="s">
        <v>85</v>
      </c>
      <c r="B135" s="12" t="s">
        <v>801</v>
      </c>
      <c r="C135" s="12" t="s">
        <v>1441</v>
      </c>
      <c r="D135" s="12"/>
      <c r="E135" s="12" t="s">
        <v>1441</v>
      </c>
      <c r="F135" s="12" t="s">
        <v>801</v>
      </c>
      <c r="G135" s="12"/>
      <c r="H135" s="12"/>
      <c r="I135" s="12"/>
      <c r="J135" s="13">
        <v>6041</v>
      </c>
      <c r="K135" s="12" t="s">
        <v>1489</v>
      </c>
      <c r="L135" s="5"/>
      <c r="M135" s="5"/>
    </row>
    <row r="136" spans="1:13">
      <c r="A136" s="13"/>
      <c r="B136" s="13">
        <v>10821</v>
      </c>
      <c r="C136" s="13">
        <v>750</v>
      </c>
      <c r="D136" s="13"/>
      <c r="E136" s="13">
        <v>233</v>
      </c>
      <c r="F136" s="13">
        <v>1052</v>
      </c>
      <c r="G136" s="13"/>
      <c r="H136" s="13"/>
      <c r="I136" s="13"/>
      <c r="J136" s="13"/>
      <c r="K136" s="14"/>
      <c r="L136" s="5"/>
      <c r="M136" s="5"/>
    </row>
    <row r="137" spans="1:1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5"/>
      <c r="M137" s="5"/>
    </row>
    <row r="138" spans="1:13">
      <c r="A138" s="33" t="s">
        <v>90</v>
      </c>
      <c r="B138" s="32" t="s">
        <v>807</v>
      </c>
      <c r="C138" s="32" t="s">
        <v>1490</v>
      </c>
      <c r="D138" s="32"/>
      <c r="E138" s="32" t="s">
        <v>1490</v>
      </c>
      <c r="F138" s="32" t="s">
        <v>809</v>
      </c>
      <c r="G138" s="32"/>
      <c r="H138" s="32"/>
      <c r="I138" s="32"/>
      <c r="J138" s="30">
        <v>3626</v>
      </c>
      <c r="K138" s="32" t="s">
        <v>810</v>
      </c>
      <c r="L138" s="5"/>
      <c r="M138" s="5"/>
    </row>
    <row r="139" spans="1:13">
      <c r="A139" s="30"/>
      <c r="B139" s="30">
        <v>12560</v>
      </c>
      <c r="C139" s="30">
        <v>2228</v>
      </c>
      <c r="D139" s="30"/>
      <c r="E139" s="30">
        <v>407</v>
      </c>
      <c r="F139" s="30">
        <v>3609</v>
      </c>
      <c r="G139" s="30"/>
      <c r="H139" s="30"/>
      <c r="I139" s="33"/>
      <c r="J139" s="30"/>
      <c r="K139" s="33"/>
      <c r="L139" s="5"/>
      <c r="M139" s="5"/>
    </row>
    <row r="140" spans="1:1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5"/>
      <c r="M140" s="5"/>
    </row>
    <row r="141" spans="1:13">
      <c r="A141" s="14" t="s">
        <v>93</v>
      </c>
      <c r="B141" s="12" t="s">
        <v>188</v>
      </c>
      <c r="C141" s="12" t="s">
        <v>188</v>
      </c>
      <c r="D141" s="12"/>
      <c r="E141" s="12"/>
      <c r="F141" s="12"/>
      <c r="G141" s="12"/>
      <c r="H141" s="12"/>
      <c r="I141" s="12"/>
      <c r="J141" s="13">
        <v>2385</v>
      </c>
      <c r="K141" s="12" t="s">
        <v>199</v>
      </c>
      <c r="L141" s="5"/>
      <c r="M141" s="5"/>
    </row>
    <row r="142" spans="1:13">
      <c r="A142" s="13"/>
      <c r="B142" s="13">
        <v>8453</v>
      </c>
      <c r="C142" s="13">
        <v>3914</v>
      </c>
      <c r="D142" s="13"/>
      <c r="E142" s="13"/>
      <c r="F142" s="13"/>
      <c r="G142" s="13"/>
      <c r="H142" s="13"/>
      <c r="I142" s="13"/>
      <c r="J142" s="13"/>
      <c r="K142" s="14"/>
      <c r="L142" s="5"/>
      <c r="M142" s="5"/>
    </row>
    <row r="143" spans="1:1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5"/>
      <c r="M143" s="5"/>
    </row>
    <row r="144" spans="1:13">
      <c r="A144" s="33" t="s">
        <v>97</v>
      </c>
      <c r="B144" s="32" t="s">
        <v>812</v>
      </c>
      <c r="C144" s="32" t="s">
        <v>1491</v>
      </c>
      <c r="D144" s="32"/>
      <c r="E144" s="32" t="s">
        <v>1491</v>
      </c>
      <c r="F144" s="32" t="s">
        <v>812</v>
      </c>
      <c r="G144" s="32"/>
      <c r="H144" s="32"/>
      <c r="I144" s="32"/>
      <c r="J144" s="30">
        <v>3670</v>
      </c>
      <c r="K144" s="32" t="s">
        <v>814</v>
      </c>
      <c r="L144" s="5"/>
      <c r="M144" s="5"/>
    </row>
    <row r="145" spans="1:13">
      <c r="A145" s="30"/>
      <c r="B145" s="30">
        <v>10423</v>
      </c>
      <c r="C145" s="30">
        <v>4139</v>
      </c>
      <c r="D145" s="30"/>
      <c r="E145" s="30">
        <v>599</v>
      </c>
      <c r="F145" s="30">
        <v>706</v>
      </c>
      <c r="G145" s="30"/>
      <c r="H145" s="30"/>
      <c r="I145" s="33"/>
      <c r="J145" s="30"/>
      <c r="K145" s="33"/>
      <c r="L145" s="5"/>
      <c r="M145" s="5"/>
    </row>
    <row r="146" spans="1:1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5"/>
      <c r="M146" s="5"/>
    </row>
    <row r="147" spans="1:13">
      <c r="A147" s="14" t="s">
        <v>101</v>
      </c>
      <c r="B147" s="12" t="s">
        <v>200</v>
      </c>
      <c r="C147" s="12" t="s">
        <v>1130</v>
      </c>
      <c r="D147" s="12"/>
      <c r="E147" s="12" t="s">
        <v>1130</v>
      </c>
      <c r="F147" s="12" t="s">
        <v>200</v>
      </c>
      <c r="G147" s="12"/>
      <c r="H147" s="12"/>
      <c r="I147" s="12"/>
      <c r="J147" s="13">
        <v>1700</v>
      </c>
      <c r="K147" s="12" t="s">
        <v>102</v>
      </c>
      <c r="L147" s="5"/>
      <c r="M147" s="5"/>
    </row>
    <row r="148" spans="1:13">
      <c r="A148" s="13"/>
      <c r="B148" s="13">
        <v>8644</v>
      </c>
      <c r="C148" s="13">
        <v>2246</v>
      </c>
      <c r="D148" s="13"/>
      <c r="E148" s="14">
        <v>263</v>
      </c>
      <c r="F148" s="14">
        <v>524</v>
      </c>
      <c r="G148" s="14"/>
      <c r="H148" s="14"/>
      <c r="I148" s="14"/>
      <c r="J148" s="13"/>
      <c r="K148" s="14"/>
      <c r="L148" s="5"/>
      <c r="M148" s="5"/>
    </row>
    <row r="149" spans="1:1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5"/>
      <c r="M149" s="5"/>
    </row>
    <row r="150" spans="1:13">
      <c r="A150" s="33" t="s">
        <v>106</v>
      </c>
      <c r="B150" s="32" t="s">
        <v>107</v>
      </c>
      <c r="C150" s="32" t="s">
        <v>107</v>
      </c>
      <c r="D150" s="30"/>
      <c r="E150" s="32" t="s">
        <v>390</v>
      </c>
      <c r="F150" s="32"/>
      <c r="G150" s="32"/>
      <c r="H150" s="32"/>
      <c r="I150" s="32"/>
      <c r="J150" s="30">
        <v>2367</v>
      </c>
      <c r="K150" s="32" t="s">
        <v>108</v>
      </c>
      <c r="L150" s="5"/>
      <c r="M150" s="5"/>
    </row>
    <row r="151" spans="1:13">
      <c r="A151" s="30"/>
      <c r="B151" s="30">
        <v>5099</v>
      </c>
      <c r="C151" s="30">
        <v>4543</v>
      </c>
      <c r="D151" s="30"/>
      <c r="E151" s="30">
        <v>788</v>
      </c>
      <c r="F151" s="30"/>
      <c r="G151" s="30"/>
      <c r="H151" s="30"/>
      <c r="I151" s="33"/>
      <c r="J151" s="30"/>
      <c r="K151" s="33"/>
      <c r="L151" s="5"/>
      <c r="M151" s="5"/>
    </row>
    <row r="152" spans="1:1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5"/>
      <c r="M152" s="5"/>
    </row>
    <row r="153" spans="1:13">
      <c r="A153" s="14" t="s">
        <v>112</v>
      </c>
      <c r="B153" s="12" t="s">
        <v>261</v>
      </c>
      <c r="C153" s="12" t="s">
        <v>497</v>
      </c>
      <c r="D153" s="12"/>
      <c r="E153" s="12" t="s">
        <v>497</v>
      </c>
      <c r="F153" s="12" t="s">
        <v>1442</v>
      </c>
      <c r="G153" s="12"/>
      <c r="H153" s="12"/>
      <c r="I153" s="12"/>
      <c r="J153" s="13">
        <v>1351</v>
      </c>
      <c r="K153" s="12" t="s">
        <v>262</v>
      </c>
      <c r="L153" s="5"/>
      <c r="M153" s="5"/>
    </row>
    <row r="154" spans="1:13">
      <c r="A154" s="13"/>
      <c r="B154" s="13">
        <v>7413</v>
      </c>
      <c r="C154" s="13">
        <v>2373</v>
      </c>
      <c r="D154" s="13"/>
      <c r="E154" s="14">
        <v>364</v>
      </c>
      <c r="F154" s="14">
        <v>471</v>
      </c>
      <c r="G154" s="14"/>
      <c r="H154" s="14"/>
      <c r="I154" s="14"/>
      <c r="J154" s="13"/>
      <c r="K154" s="14"/>
      <c r="L154" s="5"/>
      <c r="M154" s="5"/>
    </row>
    <row r="155" spans="1:1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5"/>
      <c r="M155" s="5"/>
    </row>
    <row r="156" spans="1:13">
      <c r="A156" s="33" t="s">
        <v>116</v>
      </c>
      <c r="B156" s="32" t="s">
        <v>117</v>
      </c>
      <c r="C156" s="32" t="s">
        <v>1492</v>
      </c>
      <c r="D156" s="30"/>
      <c r="E156" s="32" t="s">
        <v>1492</v>
      </c>
      <c r="F156" s="32"/>
      <c r="G156" s="32"/>
      <c r="H156" s="32"/>
      <c r="I156" s="32"/>
      <c r="J156" s="30">
        <v>3454</v>
      </c>
      <c r="K156" s="32" t="s">
        <v>118</v>
      </c>
      <c r="L156" s="5"/>
      <c r="M156" s="5"/>
    </row>
    <row r="157" spans="1:13">
      <c r="A157" s="30"/>
      <c r="B157" s="30">
        <v>11148</v>
      </c>
      <c r="C157" s="30">
        <v>1127</v>
      </c>
      <c r="D157" s="30"/>
      <c r="E157" s="30">
        <v>199</v>
      </c>
      <c r="F157" s="30"/>
      <c r="G157" s="30"/>
      <c r="H157" s="30"/>
      <c r="I157" s="30"/>
      <c r="J157" s="30"/>
      <c r="K157" s="33"/>
      <c r="L157" s="5"/>
      <c r="M157" s="5"/>
    </row>
    <row r="158" spans="1:1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5"/>
      <c r="M158" s="5"/>
    </row>
    <row r="159" spans="1:13">
      <c r="A159" s="14" t="s">
        <v>120</v>
      </c>
      <c r="B159" s="12" t="s">
        <v>121</v>
      </c>
      <c r="C159" s="12" t="s">
        <v>1493</v>
      </c>
      <c r="D159" s="12"/>
      <c r="E159" s="12" t="s">
        <v>1493</v>
      </c>
      <c r="F159" s="12"/>
      <c r="G159" s="12"/>
      <c r="H159" s="12"/>
      <c r="I159" s="15"/>
      <c r="J159" s="13">
        <v>2625</v>
      </c>
      <c r="K159" s="12" t="s">
        <v>122</v>
      </c>
      <c r="L159" s="5"/>
      <c r="M159" s="5"/>
    </row>
    <row r="160" spans="1:13">
      <c r="A160" s="13"/>
      <c r="B160" s="13">
        <v>7431</v>
      </c>
      <c r="C160" s="13">
        <v>986</v>
      </c>
      <c r="D160" s="13"/>
      <c r="E160" s="13">
        <v>198</v>
      </c>
      <c r="F160" s="13"/>
      <c r="G160" s="13"/>
      <c r="H160" s="13"/>
      <c r="I160" s="13"/>
      <c r="J160" s="13"/>
      <c r="K160" s="14"/>
      <c r="L160" s="5"/>
      <c r="M160" s="5"/>
    </row>
    <row r="161" spans="1:1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5"/>
      <c r="M161" s="5"/>
    </row>
    <row r="162" spans="1:13">
      <c r="A162" s="33" t="s">
        <v>134</v>
      </c>
      <c r="B162" s="32" t="s">
        <v>972</v>
      </c>
      <c r="C162" s="32" t="s">
        <v>1494</v>
      </c>
      <c r="D162" s="32"/>
      <c r="E162" s="32" t="s">
        <v>1494</v>
      </c>
      <c r="F162" s="32" t="s">
        <v>972</v>
      </c>
      <c r="G162" s="32"/>
      <c r="H162" s="32"/>
      <c r="I162" s="32"/>
      <c r="J162" s="30">
        <v>4176</v>
      </c>
      <c r="K162" s="32" t="s">
        <v>974</v>
      </c>
      <c r="L162" s="5"/>
      <c r="M162" s="5"/>
    </row>
    <row r="163" spans="1:13">
      <c r="A163" s="30"/>
      <c r="B163" s="30">
        <v>22718</v>
      </c>
      <c r="C163" s="30">
        <v>2059</v>
      </c>
      <c r="D163" s="30"/>
      <c r="E163" s="30">
        <v>379</v>
      </c>
      <c r="F163" s="30">
        <v>7352</v>
      </c>
      <c r="G163" s="30"/>
      <c r="H163" s="30"/>
      <c r="I163" s="30"/>
      <c r="J163" s="30"/>
      <c r="K163" s="33"/>
      <c r="L163" s="5"/>
      <c r="M163" s="5"/>
    </row>
    <row r="164" spans="1:13">
      <c r="A164" s="5"/>
      <c r="B164" s="13"/>
      <c r="C164" s="13"/>
      <c r="D164" s="13"/>
      <c r="E164" s="13"/>
      <c r="F164" s="13"/>
      <c r="G164" s="13"/>
      <c r="H164" s="13"/>
      <c r="I164" s="13"/>
      <c r="J164" s="13"/>
      <c r="K164" s="5"/>
      <c r="L164" s="5"/>
      <c r="M164" s="5"/>
    </row>
    <row r="165" spans="1:13">
      <c r="A165" s="14" t="s">
        <v>139</v>
      </c>
      <c r="B165" s="12" t="s">
        <v>975</v>
      </c>
      <c r="C165" s="12" t="s">
        <v>1495</v>
      </c>
      <c r="D165" s="12"/>
      <c r="E165" s="12" t="s">
        <v>1495</v>
      </c>
      <c r="F165" s="12" t="s">
        <v>270</v>
      </c>
      <c r="G165" s="12"/>
      <c r="H165" s="12"/>
      <c r="I165" s="12"/>
      <c r="J165" s="13">
        <v>3144</v>
      </c>
      <c r="K165" s="12" t="s">
        <v>977</v>
      </c>
      <c r="L165" s="5"/>
      <c r="M165" s="5"/>
    </row>
    <row r="166" spans="1:13">
      <c r="A166" s="13" t="s">
        <v>978</v>
      </c>
      <c r="B166" s="13">
        <v>11150</v>
      </c>
      <c r="C166" s="13">
        <v>603</v>
      </c>
      <c r="D166" s="13"/>
      <c r="E166" s="13">
        <v>182</v>
      </c>
      <c r="F166" s="13">
        <v>1044</v>
      </c>
      <c r="G166" s="13"/>
      <c r="H166" s="13"/>
      <c r="I166" s="14"/>
      <c r="J166" s="13"/>
      <c r="K166" s="14"/>
      <c r="L166" s="5"/>
      <c r="M166" s="5"/>
    </row>
    <row r="167" spans="1:1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5"/>
      <c r="M167" s="5"/>
    </row>
    <row r="168" spans="1:13">
      <c r="A168" s="33" t="s">
        <v>142</v>
      </c>
      <c r="B168" s="32" t="s">
        <v>1137</v>
      </c>
      <c r="C168" s="32" t="s">
        <v>224</v>
      </c>
      <c r="D168" s="30"/>
      <c r="E168" s="32" t="s">
        <v>224</v>
      </c>
      <c r="F168" s="32" t="s">
        <v>1138</v>
      </c>
      <c r="G168" s="32"/>
      <c r="H168" s="32"/>
      <c r="I168" s="32"/>
      <c r="J168" s="30">
        <v>3548</v>
      </c>
      <c r="K168" s="32" t="s">
        <v>1139</v>
      </c>
      <c r="L168" s="5"/>
      <c r="M168" s="5"/>
    </row>
    <row r="169" spans="1:13">
      <c r="A169" s="30"/>
      <c r="B169" s="30">
        <v>7770</v>
      </c>
      <c r="C169" s="30">
        <v>381</v>
      </c>
      <c r="D169" s="30"/>
      <c r="E169" s="30">
        <v>122</v>
      </c>
      <c r="F169" s="30">
        <v>422</v>
      </c>
      <c r="G169" s="30"/>
      <c r="H169" s="30"/>
      <c r="I169" s="33"/>
      <c r="J169" s="30"/>
      <c r="K169" s="33"/>
      <c r="L169" s="5"/>
      <c r="M169" s="5"/>
    </row>
    <row r="170" spans="1:1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5"/>
      <c r="M170" s="5"/>
    </row>
    <row r="171" spans="1:13">
      <c r="A171" s="14" t="s">
        <v>145</v>
      </c>
      <c r="B171" s="12" t="s">
        <v>982</v>
      </c>
      <c r="C171" s="12" t="s">
        <v>1496</v>
      </c>
      <c r="D171" s="12"/>
      <c r="E171" s="12"/>
      <c r="F171" s="12" t="s">
        <v>1443</v>
      </c>
      <c r="G171" s="12"/>
      <c r="H171" s="12"/>
      <c r="I171" s="12"/>
      <c r="J171" s="13">
        <v>4292</v>
      </c>
      <c r="K171" s="12" t="s">
        <v>985</v>
      </c>
      <c r="L171" s="5"/>
      <c r="M171" s="5"/>
    </row>
    <row r="172" spans="1:13">
      <c r="A172" s="13"/>
      <c r="B172" s="13">
        <v>9880</v>
      </c>
      <c r="C172" s="13">
        <v>440</v>
      </c>
      <c r="D172" s="13"/>
      <c r="E172" s="13"/>
      <c r="F172" s="13">
        <v>625</v>
      </c>
      <c r="G172" s="13"/>
      <c r="H172" s="13"/>
      <c r="I172" s="14"/>
      <c r="J172" s="13"/>
      <c r="K172" s="14"/>
      <c r="L172" s="5"/>
      <c r="M172" s="5"/>
    </row>
    <row r="173" spans="1:1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5"/>
      <c r="M173" s="5"/>
    </row>
    <row r="174" spans="1:13">
      <c r="A174" s="33" t="s">
        <v>150</v>
      </c>
      <c r="B174" s="32" t="s">
        <v>825</v>
      </c>
      <c r="C174" s="32"/>
      <c r="D174" s="32"/>
      <c r="E174" s="32"/>
      <c r="F174" s="32"/>
      <c r="G174" s="32"/>
      <c r="H174" s="32"/>
      <c r="I174" s="32"/>
      <c r="J174" s="30">
        <v>4671</v>
      </c>
      <c r="K174" s="32" t="s">
        <v>827</v>
      </c>
      <c r="L174" s="5"/>
      <c r="M174" s="5"/>
    </row>
    <row r="175" spans="1:13">
      <c r="A175" s="30"/>
      <c r="B175" s="30">
        <v>12785</v>
      </c>
      <c r="C175" s="30"/>
      <c r="D175" s="30"/>
      <c r="E175" s="30"/>
      <c r="F175" s="30"/>
      <c r="G175" s="30"/>
      <c r="H175" s="30"/>
      <c r="I175" s="30"/>
      <c r="J175" s="30"/>
      <c r="K175" s="33"/>
      <c r="L175" s="5"/>
      <c r="M175" s="5"/>
    </row>
    <row r="176" spans="1:1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5"/>
      <c r="M176" s="5"/>
    </row>
    <row r="177" spans="1:13">
      <c r="A177" s="14" t="s">
        <v>154</v>
      </c>
      <c r="B177" s="12" t="s">
        <v>1141</v>
      </c>
      <c r="C177" s="12" t="s">
        <v>306</v>
      </c>
      <c r="D177" s="12"/>
      <c r="E177" s="12" t="s">
        <v>306</v>
      </c>
      <c r="F177" s="12" t="s">
        <v>1141</v>
      </c>
      <c r="G177" s="12"/>
      <c r="H177" s="12"/>
      <c r="I177" s="12"/>
      <c r="J177" s="13">
        <v>4485</v>
      </c>
      <c r="K177" s="12" t="s">
        <v>1497</v>
      </c>
      <c r="L177" s="5"/>
      <c r="M177" s="5"/>
    </row>
    <row r="178" spans="1:13">
      <c r="A178" s="13"/>
      <c r="B178" s="13">
        <v>16125</v>
      </c>
      <c r="C178" s="13">
        <v>478</v>
      </c>
      <c r="D178" s="13"/>
      <c r="E178" s="13">
        <v>135</v>
      </c>
      <c r="F178" s="13">
        <v>3426</v>
      </c>
      <c r="G178" s="13"/>
      <c r="H178" s="13"/>
      <c r="I178" s="13"/>
      <c r="J178" s="13"/>
      <c r="K178" s="13"/>
      <c r="L178" s="5"/>
      <c r="M178" s="5"/>
    </row>
    <row r="179" spans="1:1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5"/>
      <c r="M179" s="5"/>
    </row>
    <row r="180" spans="1:13">
      <c r="A180" s="33" t="s">
        <v>158</v>
      </c>
      <c r="B180" s="32" t="s">
        <v>159</v>
      </c>
      <c r="C180" s="32"/>
      <c r="D180" s="32"/>
      <c r="E180" s="32" t="s">
        <v>1498</v>
      </c>
      <c r="F180" s="32" t="s">
        <v>504</v>
      </c>
      <c r="G180" s="32"/>
      <c r="H180" s="32"/>
      <c r="I180" s="32"/>
      <c r="J180" s="30">
        <v>4714</v>
      </c>
      <c r="K180" s="32" t="s">
        <v>160</v>
      </c>
      <c r="L180" s="5"/>
      <c r="M180" s="5"/>
    </row>
    <row r="181" spans="1:13">
      <c r="A181" s="30"/>
      <c r="B181" s="30">
        <v>13885</v>
      </c>
      <c r="C181" s="30"/>
      <c r="D181" s="30"/>
      <c r="E181" s="30">
        <v>215</v>
      </c>
      <c r="F181" s="30">
        <v>806</v>
      </c>
      <c r="G181" s="30"/>
      <c r="H181" s="30"/>
      <c r="I181" s="30"/>
      <c r="J181" s="30"/>
      <c r="K181" s="33"/>
      <c r="L181" s="5"/>
      <c r="M181" s="5"/>
    </row>
    <row r="182" spans="1:1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5"/>
      <c r="M182" s="5"/>
    </row>
    <row r="183" spans="1:13">
      <c r="A183" s="14" t="s">
        <v>166</v>
      </c>
      <c r="B183" s="12" t="s">
        <v>988</v>
      </c>
      <c r="C183" s="12"/>
      <c r="D183" s="12"/>
      <c r="E183" s="12" t="s">
        <v>677</v>
      </c>
      <c r="F183" s="12"/>
      <c r="G183" s="12"/>
      <c r="H183" s="12"/>
      <c r="I183" s="13"/>
      <c r="J183" s="13">
        <v>6800</v>
      </c>
      <c r="K183" s="12" t="s">
        <v>1143</v>
      </c>
      <c r="L183" s="5"/>
      <c r="M183" s="5"/>
    </row>
    <row r="184" spans="1:13">
      <c r="A184" s="13"/>
      <c r="B184" s="13">
        <v>12427</v>
      </c>
      <c r="C184" s="13"/>
      <c r="D184" s="13"/>
      <c r="E184" s="13">
        <v>871</v>
      </c>
      <c r="F184" s="13"/>
      <c r="G184" s="13"/>
      <c r="H184" s="13"/>
      <c r="I184" s="13"/>
      <c r="J184" s="13"/>
      <c r="K184" s="14"/>
      <c r="L184" s="5"/>
      <c r="M184" s="5"/>
    </row>
    <row r="185" spans="1:1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5"/>
      <c r="M185" s="5"/>
    </row>
    <row r="186" spans="1:13">
      <c r="A186" s="33" t="s">
        <v>170</v>
      </c>
      <c r="B186" s="32" t="s">
        <v>1144</v>
      </c>
      <c r="C186" s="32" t="s">
        <v>1499</v>
      </c>
      <c r="D186" s="32" t="s">
        <v>1144</v>
      </c>
      <c r="E186" s="32" t="s">
        <v>1499</v>
      </c>
      <c r="F186" s="32" t="s">
        <v>1144</v>
      </c>
      <c r="G186" s="32"/>
      <c r="H186" s="32"/>
      <c r="I186" s="32"/>
      <c r="J186" s="30">
        <v>2615</v>
      </c>
      <c r="K186" s="29" t="s">
        <v>1338</v>
      </c>
      <c r="L186" s="5"/>
      <c r="M186" s="5"/>
    </row>
    <row r="187" spans="1:13">
      <c r="A187" s="30"/>
      <c r="B187" s="30">
        <v>10166</v>
      </c>
      <c r="C187" s="30">
        <v>9172</v>
      </c>
      <c r="D187" s="30">
        <v>488</v>
      </c>
      <c r="E187" s="30">
        <v>1433</v>
      </c>
      <c r="F187" s="30">
        <v>698</v>
      </c>
      <c r="G187" s="30"/>
      <c r="H187" s="30"/>
      <c r="I187" s="30"/>
      <c r="J187" s="30"/>
      <c r="K187" s="30"/>
      <c r="L187" s="5"/>
      <c r="M187" s="5"/>
    </row>
    <row r="188" spans="1:13">
      <c r="A188" s="5"/>
      <c r="B188" s="13"/>
      <c r="C188" s="13"/>
      <c r="D188" s="13"/>
      <c r="E188" s="13"/>
      <c r="F188" s="13"/>
      <c r="G188" s="13"/>
      <c r="H188" s="13"/>
      <c r="I188" s="13"/>
      <c r="J188" s="13"/>
      <c r="K188" s="5"/>
      <c r="L188" s="5"/>
      <c r="M188" s="5"/>
    </row>
    <row r="189" spans="1:13">
      <c r="A189" s="5" t="s">
        <v>5</v>
      </c>
      <c r="B189" s="15" t="s">
        <v>1500</v>
      </c>
      <c r="C189" s="15" t="s">
        <v>1340</v>
      </c>
      <c r="D189" s="15"/>
      <c r="E189" s="15"/>
      <c r="F189" s="15" t="s">
        <v>1500</v>
      </c>
      <c r="G189" s="15"/>
      <c r="H189" s="15"/>
      <c r="I189" s="15"/>
      <c r="J189" s="13">
        <v>3900</v>
      </c>
      <c r="K189" s="10" t="s">
        <v>1501</v>
      </c>
      <c r="L189" s="5"/>
      <c r="M189" s="5"/>
    </row>
    <row r="190" spans="1:13">
      <c r="A190" s="5"/>
      <c r="B190" s="13">
        <v>12986</v>
      </c>
      <c r="C190" s="13">
        <v>5249</v>
      </c>
      <c r="D190" s="13"/>
      <c r="E190" s="13"/>
      <c r="F190" s="13">
        <v>977</v>
      </c>
      <c r="G190" s="13"/>
      <c r="H190" s="13"/>
      <c r="I190" s="13"/>
      <c r="J190" s="13"/>
      <c r="K190" s="5"/>
      <c r="L190" s="5"/>
      <c r="M190" s="5"/>
    </row>
    <row r="191" spans="1:13">
      <c r="A191" s="5"/>
      <c r="B191" s="13"/>
      <c r="C191" s="13"/>
      <c r="D191" s="13"/>
      <c r="E191" s="13"/>
      <c r="F191" s="13"/>
      <c r="G191" s="13"/>
      <c r="H191" s="13"/>
      <c r="I191" s="13"/>
      <c r="J191" s="13"/>
      <c r="K191" s="5"/>
      <c r="L191" s="5"/>
      <c r="M191" s="5"/>
    </row>
    <row r="192" spans="1:13" ht="17.25">
      <c r="A192" s="5" t="s">
        <v>1599</v>
      </c>
      <c r="B192" s="15" t="s">
        <v>272</v>
      </c>
      <c r="C192" s="15" t="s">
        <v>1340</v>
      </c>
      <c r="D192" s="15" t="s">
        <v>1502</v>
      </c>
      <c r="E192" s="15" t="s">
        <v>1340</v>
      </c>
      <c r="F192" s="15" t="s">
        <v>272</v>
      </c>
      <c r="G192" s="15"/>
      <c r="H192" s="15"/>
      <c r="I192" s="15"/>
      <c r="J192" s="15">
        <v>43</v>
      </c>
      <c r="K192" s="10" t="s">
        <v>1503</v>
      </c>
      <c r="L192" s="5"/>
      <c r="M192" s="5"/>
    </row>
    <row r="193" spans="1:13">
      <c r="A193" s="5"/>
      <c r="B193" s="13">
        <v>2802</v>
      </c>
      <c r="C193" s="13">
        <v>1460</v>
      </c>
      <c r="D193" s="13">
        <v>1160</v>
      </c>
      <c r="E193" s="13">
        <v>474</v>
      </c>
      <c r="F193" s="13">
        <v>286</v>
      </c>
      <c r="G193" s="13"/>
      <c r="H193" s="13"/>
      <c r="I193" s="13"/>
      <c r="J193" s="13"/>
      <c r="K193" s="5"/>
      <c r="L193" s="5"/>
      <c r="M193" s="5"/>
    </row>
    <row r="194" spans="1:13">
      <c r="A194" s="5"/>
      <c r="B194" s="13"/>
      <c r="C194" s="13"/>
      <c r="D194" s="13"/>
      <c r="E194" s="13"/>
      <c r="F194" s="13"/>
      <c r="G194" s="13"/>
      <c r="H194" s="13"/>
      <c r="I194" s="13"/>
      <c r="J194" s="13"/>
      <c r="K194" s="5"/>
      <c r="L194" s="5"/>
      <c r="M194" s="5"/>
    </row>
    <row r="195" spans="1:13">
      <c r="A195" s="33" t="s">
        <v>8</v>
      </c>
      <c r="B195" s="32"/>
      <c r="C195" s="32" t="s">
        <v>1504</v>
      </c>
      <c r="D195" s="32" t="s">
        <v>1504</v>
      </c>
      <c r="E195" s="32" t="s">
        <v>1504</v>
      </c>
      <c r="F195" s="32"/>
      <c r="G195" s="32"/>
      <c r="H195" s="32"/>
      <c r="I195" s="32"/>
      <c r="J195" s="30">
        <v>9205</v>
      </c>
      <c r="K195" s="32" t="s">
        <v>1505</v>
      </c>
      <c r="L195" s="5"/>
      <c r="M195" s="5"/>
    </row>
    <row r="196" spans="1:13">
      <c r="A196" s="30"/>
      <c r="B196" s="30"/>
      <c r="C196" s="30">
        <v>13515</v>
      </c>
      <c r="D196" s="30">
        <v>1040</v>
      </c>
      <c r="E196" s="30">
        <v>1576</v>
      </c>
      <c r="F196" s="30"/>
      <c r="G196" s="30"/>
      <c r="H196" s="30"/>
      <c r="I196" s="30"/>
      <c r="J196" s="30"/>
      <c r="K196" s="33"/>
      <c r="L196" s="5"/>
      <c r="M196" s="5"/>
    </row>
    <row r="197" spans="1:13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5"/>
      <c r="M197" s="5"/>
    </row>
    <row r="198" spans="1:13" ht="17.25">
      <c r="A198" s="33" t="s">
        <v>1600</v>
      </c>
      <c r="B198" s="29" t="s">
        <v>1506</v>
      </c>
      <c r="C198" s="29" t="s">
        <v>1149</v>
      </c>
      <c r="D198" s="29" t="s">
        <v>1506</v>
      </c>
      <c r="E198" s="29" t="s">
        <v>1506</v>
      </c>
      <c r="F198" s="29"/>
      <c r="G198" s="29"/>
      <c r="H198" s="29"/>
      <c r="I198" s="29" t="s">
        <v>1507</v>
      </c>
      <c r="J198" s="29">
        <v>481</v>
      </c>
      <c r="K198" s="29" t="s">
        <v>1508</v>
      </c>
      <c r="L198" s="5"/>
      <c r="M198" s="5"/>
    </row>
    <row r="199" spans="1:13">
      <c r="A199" s="30"/>
      <c r="B199" s="30">
        <v>774</v>
      </c>
      <c r="C199" s="30">
        <v>2308</v>
      </c>
      <c r="D199" s="30">
        <v>56</v>
      </c>
      <c r="E199" s="30">
        <v>178</v>
      </c>
      <c r="F199" s="30"/>
      <c r="G199" s="30"/>
      <c r="H199" s="30"/>
      <c r="I199" s="30">
        <v>101</v>
      </c>
      <c r="J199" s="30"/>
      <c r="K199" s="30"/>
      <c r="L199" s="5"/>
      <c r="M199" s="5"/>
    </row>
    <row r="200" spans="1:1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5"/>
      <c r="M200" s="5"/>
    </row>
    <row r="201" spans="1:13">
      <c r="A201" s="14" t="s">
        <v>14</v>
      </c>
      <c r="B201" s="12" t="s">
        <v>225</v>
      </c>
      <c r="C201" s="12" t="s">
        <v>1509</v>
      </c>
      <c r="D201" s="12" t="s">
        <v>225</v>
      </c>
      <c r="E201" s="12" t="s">
        <v>225</v>
      </c>
      <c r="F201" s="12" t="s">
        <v>225</v>
      </c>
      <c r="G201" s="12"/>
      <c r="H201" s="12"/>
      <c r="I201" s="12"/>
      <c r="J201" s="13">
        <v>2851</v>
      </c>
      <c r="K201" s="12" t="s">
        <v>226</v>
      </c>
      <c r="L201" s="5"/>
      <c r="M201" s="5"/>
    </row>
    <row r="202" spans="1:13">
      <c r="A202" s="13"/>
      <c r="B202" s="13">
        <v>11181</v>
      </c>
      <c r="C202" s="13">
        <v>5775</v>
      </c>
      <c r="D202" s="13">
        <v>488</v>
      </c>
      <c r="E202" s="13">
        <v>926</v>
      </c>
      <c r="F202" s="13">
        <v>491</v>
      </c>
      <c r="G202" s="13"/>
      <c r="H202" s="13"/>
      <c r="I202" s="13"/>
      <c r="J202" s="13"/>
      <c r="K202" s="14"/>
      <c r="L202" s="5"/>
      <c r="M202" s="5"/>
    </row>
    <row r="203" spans="1:1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5"/>
      <c r="M203" s="5"/>
    </row>
    <row r="204" spans="1:13">
      <c r="A204" s="33" t="s">
        <v>23</v>
      </c>
      <c r="B204" s="32" t="s">
        <v>834</v>
      </c>
      <c r="C204" s="32" t="s">
        <v>1510</v>
      </c>
      <c r="D204" s="32"/>
      <c r="E204" s="32" t="s">
        <v>1510</v>
      </c>
      <c r="F204" s="32" t="s">
        <v>834</v>
      </c>
      <c r="G204" s="32"/>
      <c r="H204" s="32"/>
      <c r="I204" s="32"/>
      <c r="J204" s="30">
        <v>3251</v>
      </c>
      <c r="K204" s="32" t="s">
        <v>836</v>
      </c>
      <c r="L204" s="5"/>
      <c r="M204" s="5"/>
    </row>
    <row r="205" spans="1:13">
      <c r="A205" s="30"/>
      <c r="B205" s="30">
        <v>16276</v>
      </c>
      <c r="C205" s="30">
        <v>2482</v>
      </c>
      <c r="D205" s="30"/>
      <c r="E205" s="30">
        <v>276</v>
      </c>
      <c r="F205" s="30">
        <v>1510</v>
      </c>
      <c r="G205" s="30"/>
      <c r="H205" s="30"/>
      <c r="I205" s="33"/>
      <c r="J205" s="30"/>
      <c r="K205" s="33"/>
      <c r="L205" s="5"/>
      <c r="M205" s="5"/>
    </row>
    <row r="206" spans="1:1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5"/>
      <c r="M206" s="5"/>
    </row>
    <row r="207" spans="1:13">
      <c r="A207" s="14" t="s">
        <v>29</v>
      </c>
      <c r="B207" s="12" t="s">
        <v>1511</v>
      </c>
      <c r="C207" s="12" t="s">
        <v>1512</v>
      </c>
      <c r="D207" s="12"/>
      <c r="E207" s="12"/>
      <c r="F207" s="12" t="s">
        <v>1606</v>
      </c>
      <c r="G207" s="12"/>
      <c r="H207" s="12"/>
      <c r="I207" s="12"/>
      <c r="J207" s="13">
        <v>3710</v>
      </c>
      <c r="K207" s="12" t="s">
        <v>1513</v>
      </c>
      <c r="L207" s="5"/>
      <c r="M207" s="5"/>
    </row>
    <row r="208" spans="1:13">
      <c r="A208" s="13"/>
      <c r="B208" s="13">
        <v>24046</v>
      </c>
      <c r="C208" s="13">
        <v>5499</v>
      </c>
      <c r="D208" s="13"/>
      <c r="E208" s="13"/>
      <c r="F208" s="13">
        <v>1288</v>
      </c>
      <c r="G208" s="13"/>
      <c r="H208" s="13"/>
      <c r="I208" s="13"/>
      <c r="J208" s="13"/>
      <c r="K208" s="14"/>
      <c r="L208" s="5"/>
      <c r="M208" s="5"/>
    </row>
    <row r="209" spans="1:1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5"/>
      <c r="M209" s="5"/>
    </row>
    <row r="210" spans="1:13" ht="17.25">
      <c r="A210" s="14" t="s">
        <v>1601</v>
      </c>
      <c r="B210" s="15" t="s">
        <v>1001</v>
      </c>
      <c r="C210" s="15" t="s">
        <v>1514</v>
      </c>
      <c r="D210" s="15" t="s">
        <v>1514</v>
      </c>
      <c r="E210" s="15"/>
      <c r="F210" s="15" t="s">
        <v>1001</v>
      </c>
      <c r="G210" s="15"/>
      <c r="H210" s="15"/>
      <c r="I210" s="15"/>
      <c r="J210" s="15">
        <v>32</v>
      </c>
      <c r="K210" s="15" t="s">
        <v>1003</v>
      </c>
      <c r="L210" s="5"/>
      <c r="M210" s="5"/>
    </row>
    <row r="211" spans="1:13">
      <c r="A211" s="13"/>
      <c r="B211" s="13">
        <v>3947</v>
      </c>
      <c r="C211" s="13">
        <v>1803</v>
      </c>
      <c r="D211" s="13">
        <v>470</v>
      </c>
      <c r="E211" s="13"/>
      <c r="F211" s="13">
        <v>307</v>
      </c>
      <c r="G211" s="13"/>
      <c r="H211" s="13"/>
      <c r="I211" s="13"/>
      <c r="J211" s="13"/>
      <c r="K211" s="13"/>
      <c r="L211" s="5"/>
      <c r="M211" s="5"/>
    </row>
    <row r="212" spans="1:1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5"/>
      <c r="M212" s="5"/>
    </row>
    <row r="213" spans="1:13">
      <c r="A213" s="33" t="s">
        <v>36</v>
      </c>
      <c r="B213" s="32" t="s">
        <v>37</v>
      </c>
      <c r="C213" s="32"/>
      <c r="D213" s="32"/>
      <c r="E213" s="32"/>
      <c r="F213" s="32" t="s">
        <v>511</v>
      </c>
      <c r="G213" s="32"/>
      <c r="H213" s="32"/>
      <c r="I213" s="32"/>
      <c r="J213" s="30">
        <v>5860</v>
      </c>
      <c r="K213" s="32" t="s">
        <v>38</v>
      </c>
      <c r="L213" s="5"/>
      <c r="M213" s="5"/>
    </row>
    <row r="214" spans="1:13">
      <c r="A214" s="30"/>
      <c r="B214" s="30">
        <v>28429</v>
      </c>
      <c r="C214" s="30"/>
      <c r="D214" s="30"/>
      <c r="E214" s="30"/>
      <c r="F214" s="30">
        <v>5238</v>
      </c>
      <c r="G214" s="30"/>
      <c r="H214" s="30"/>
      <c r="I214" s="33"/>
      <c r="J214" s="30"/>
      <c r="K214" s="30"/>
      <c r="L214" s="5"/>
      <c r="M214" s="5"/>
    </row>
    <row r="215" spans="1:1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5"/>
      <c r="M215" s="5"/>
    </row>
    <row r="216" spans="1:13">
      <c r="A216" s="14" t="s">
        <v>46</v>
      </c>
      <c r="B216" s="12" t="s">
        <v>263</v>
      </c>
      <c r="C216" s="12" t="s">
        <v>1515</v>
      </c>
      <c r="D216" s="12"/>
      <c r="E216" s="12"/>
      <c r="F216" s="12" t="s">
        <v>263</v>
      </c>
      <c r="G216" s="12"/>
      <c r="H216" s="12"/>
      <c r="I216" s="12"/>
      <c r="J216" s="13">
        <v>4186</v>
      </c>
      <c r="K216" s="12" t="s">
        <v>264</v>
      </c>
      <c r="L216" s="5"/>
      <c r="M216" s="5"/>
    </row>
    <row r="217" spans="1:13">
      <c r="A217" s="13"/>
      <c r="B217" s="13">
        <v>29982</v>
      </c>
      <c r="C217" s="13">
        <v>4469</v>
      </c>
      <c r="D217" s="13"/>
      <c r="E217" s="13"/>
      <c r="F217" s="13">
        <v>3927</v>
      </c>
      <c r="G217" s="13"/>
      <c r="H217" s="13"/>
      <c r="I217" s="14"/>
      <c r="J217" s="13"/>
      <c r="K217" s="14"/>
      <c r="L217" s="5"/>
      <c r="M217" s="5"/>
    </row>
    <row r="218" spans="1:1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5"/>
      <c r="M218" s="5"/>
    </row>
    <row r="219" spans="1:13">
      <c r="A219" s="33" t="s">
        <v>51</v>
      </c>
      <c r="B219" s="29" t="s">
        <v>1516</v>
      </c>
      <c r="C219" s="29" t="s">
        <v>1517</v>
      </c>
      <c r="D219" s="29" t="s">
        <v>1517</v>
      </c>
      <c r="E219" s="29" t="s">
        <v>1517</v>
      </c>
      <c r="F219" s="29" t="s">
        <v>1516</v>
      </c>
      <c r="G219" s="29"/>
      <c r="H219" s="29"/>
      <c r="I219" s="29"/>
      <c r="J219" s="30">
        <v>4337</v>
      </c>
      <c r="K219" s="29" t="s">
        <v>1518</v>
      </c>
      <c r="L219" s="5"/>
      <c r="M219" s="5"/>
    </row>
    <row r="220" spans="1:13">
      <c r="A220" s="30"/>
      <c r="B220" s="30">
        <v>14751</v>
      </c>
      <c r="C220" s="30">
        <v>1170</v>
      </c>
      <c r="D220" s="30">
        <v>306</v>
      </c>
      <c r="E220" s="30">
        <v>111</v>
      </c>
      <c r="F220" s="30">
        <v>878</v>
      </c>
      <c r="G220" s="30"/>
      <c r="H220" s="30"/>
      <c r="I220" s="30"/>
      <c r="J220" s="30"/>
      <c r="K220" s="30"/>
      <c r="L220" s="5"/>
      <c r="M220" s="5"/>
    </row>
    <row r="221" spans="1:1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5"/>
      <c r="M221" s="5"/>
    </row>
    <row r="222" spans="1:13">
      <c r="A222" s="14" t="s">
        <v>58</v>
      </c>
      <c r="B222" s="12" t="s">
        <v>227</v>
      </c>
      <c r="C222" s="12"/>
      <c r="D222" s="12"/>
      <c r="E222" s="12"/>
      <c r="F222" s="12"/>
      <c r="G222" s="12"/>
      <c r="H222" s="12"/>
      <c r="I222" s="15"/>
      <c r="J222" s="13">
        <v>9499</v>
      </c>
      <c r="K222" s="12" t="s">
        <v>228</v>
      </c>
      <c r="L222" s="5"/>
      <c r="M222" s="5"/>
    </row>
    <row r="223" spans="1:13">
      <c r="A223" s="13"/>
      <c r="B223" s="13">
        <v>27890</v>
      </c>
      <c r="C223" s="13"/>
      <c r="D223" s="13"/>
      <c r="E223" s="13"/>
      <c r="F223" s="13"/>
      <c r="G223" s="13"/>
      <c r="H223" s="13"/>
      <c r="I223" s="13"/>
      <c r="J223" s="13"/>
      <c r="K223" s="14"/>
      <c r="L223" s="5"/>
      <c r="M223" s="5"/>
    </row>
    <row r="224" spans="1:1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5"/>
      <c r="M224" s="5"/>
    </row>
    <row r="225" spans="1:13">
      <c r="A225" s="33" t="s">
        <v>62</v>
      </c>
      <c r="B225" s="32" t="s">
        <v>839</v>
      </c>
      <c r="C225" s="32"/>
      <c r="D225" s="32"/>
      <c r="E225" s="32"/>
      <c r="F225" s="32" t="s">
        <v>312</v>
      </c>
      <c r="G225" s="32"/>
      <c r="H225" s="32"/>
      <c r="I225" s="32"/>
      <c r="J225" s="30">
        <v>5005</v>
      </c>
      <c r="K225" s="32" t="s">
        <v>841</v>
      </c>
      <c r="L225" s="5"/>
      <c r="M225" s="5"/>
    </row>
    <row r="226" spans="1:13">
      <c r="A226" s="30"/>
      <c r="B226" s="30">
        <v>18212</v>
      </c>
      <c r="C226" s="30"/>
      <c r="D226" s="30"/>
      <c r="E226" s="30"/>
      <c r="F226" s="30">
        <v>1421</v>
      </c>
      <c r="G226" s="30"/>
      <c r="H226" s="30"/>
      <c r="I226" s="33"/>
      <c r="J226" s="30"/>
      <c r="K226" s="33"/>
      <c r="L226" s="5"/>
      <c r="M226" s="5"/>
    </row>
    <row r="227" spans="1:1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5"/>
      <c r="M227" s="5"/>
    </row>
    <row r="228" spans="1:13">
      <c r="A228" s="14" t="s">
        <v>67</v>
      </c>
      <c r="B228" s="12" t="s">
        <v>68</v>
      </c>
      <c r="C228" s="12" t="s">
        <v>1156</v>
      </c>
      <c r="D228" s="12"/>
      <c r="E228" s="12"/>
      <c r="F228" s="12"/>
      <c r="G228" s="12"/>
      <c r="H228" s="12"/>
      <c r="I228" s="12"/>
      <c r="J228" s="13">
        <v>5423</v>
      </c>
      <c r="K228" s="12" t="s">
        <v>69</v>
      </c>
      <c r="L228" s="5"/>
      <c r="M228" s="5"/>
    </row>
    <row r="229" spans="1:13">
      <c r="A229" s="13"/>
      <c r="B229" s="13">
        <v>18826</v>
      </c>
      <c r="C229" s="13">
        <v>1378</v>
      </c>
      <c r="D229" s="13"/>
      <c r="E229" s="13"/>
      <c r="F229" s="13"/>
      <c r="G229" s="13"/>
      <c r="H229" s="13"/>
      <c r="I229" s="13"/>
      <c r="J229" s="13"/>
      <c r="K229" s="14"/>
      <c r="L229" s="5"/>
      <c r="M229" s="5"/>
    </row>
    <row r="230" spans="1:1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5"/>
      <c r="M230" s="5"/>
    </row>
    <row r="231" spans="1:13">
      <c r="A231" s="33" t="s">
        <v>72</v>
      </c>
      <c r="B231" s="32" t="s">
        <v>1349</v>
      </c>
      <c r="C231" s="32" t="s">
        <v>1519</v>
      </c>
      <c r="D231" s="32" t="s">
        <v>1519</v>
      </c>
      <c r="E231" s="32"/>
      <c r="F231" s="32"/>
      <c r="G231" s="32"/>
      <c r="H231" s="32"/>
      <c r="I231" s="32" t="s">
        <v>1520</v>
      </c>
      <c r="J231" s="30">
        <v>2798</v>
      </c>
      <c r="K231" s="32" t="s">
        <v>1350</v>
      </c>
      <c r="L231" s="5"/>
      <c r="M231" s="5"/>
    </row>
    <row r="232" spans="1:13">
      <c r="A232" s="30"/>
      <c r="B232" s="30">
        <v>14176</v>
      </c>
      <c r="C232" s="30">
        <v>875</v>
      </c>
      <c r="D232" s="30">
        <v>234</v>
      </c>
      <c r="E232" s="30"/>
      <c r="F232" s="30"/>
      <c r="G232" s="30"/>
      <c r="H232" s="30"/>
      <c r="I232" s="30">
        <v>463</v>
      </c>
      <c r="J232" s="30"/>
      <c r="K232" s="33"/>
      <c r="L232" s="5"/>
      <c r="M232" s="5"/>
    </row>
    <row r="233" spans="1:1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5"/>
      <c r="M233" s="5"/>
    </row>
    <row r="234" spans="1:13">
      <c r="A234" s="14" t="s">
        <v>79</v>
      </c>
      <c r="B234" s="12" t="s">
        <v>1158</v>
      </c>
      <c r="C234" s="12" t="s">
        <v>1521</v>
      </c>
      <c r="D234" s="12" t="s">
        <v>1521</v>
      </c>
      <c r="E234" s="12"/>
      <c r="F234" s="12" t="s">
        <v>1158</v>
      </c>
      <c r="G234" s="12"/>
      <c r="H234" s="12"/>
      <c r="I234" s="12"/>
      <c r="J234" s="13">
        <v>4337</v>
      </c>
      <c r="K234" s="12" t="s">
        <v>1161</v>
      </c>
      <c r="L234" s="5"/>
      <c r="M234" s="5"/>
    </row>
    <row r="235" spans="1:13">
      <c r="A235" s="13"/>
      <c r="B235" s="13">
        <v>25932</v>
      </c>
      <c r="C235" s="13">
        <v>7584</v>
      </c>
      <c r="D235" s="13">
        <v>478</v>
      </c>
      <c r="E235" s="13"/>
      <c r="F235" s="13">
        <v>988</v>
      </c>
      <c r="G235" s="13"/>
      <c r="H235" s="13"/>
      <c r="I235" s="13"/>
      <c r="J235" s="13"/>
      <c r="K235" s="14"/>
      <c r="L235" s="5"/>
      <c r="M235" s="5"/>
    </row>
    <row r="236" spans="1:1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5"/>
      <c r="M236" s="5"/>
    </row>
    <row r="237" spans="1:13">
      <c r="A237" s="33" t="s">
        <v>87</v>
      </c>
      <c r="B237" s="32" t="s">
        <v>266</v>
      </c>
      <c r="C237" s="32" t="s">
        <v>524</v>
      </c>
      <c r="D237" s="32"/>
      <c r="E237" s="32"/>
      <c r="F237" s="32" t="s">
        <v>952</v>
      </c>
      <c r="G237" s="32"/>
      <c r="H237" s="32"/>
      <c r="I237" s="29"/>
      <c r="J237" s="30">
        <v>4561</v>
      </c>
      <c r="K237" s="32" t="s">
        <v>265</v>
      </c>
      <c r="L237" s="5"/>
      <c r="M237" s="5"/>
    </row>
    <row r="238" spans="1:13">
      <c r="A238" s="30"/>
      <c r="B238" s="30">
        <v>21875</v>
      </c>
      <c r="C238" s="30">
        <v>3576</v>
      </c>
      <c r="D238" s="30"/>
      <c r="E238" s="30"/>
      <c r="F238" s="30">
        <v>3855</v>
      </c>
      <c r="G238" s="30"/>
      <c r="H238" s="30"/>
      <c r="I238" s="30"/>
      <c r="J238" s="30"/>
      <c r="K238" s="30"/>
      <c r="L238" s="5"/>
      <c r="M238" s="5"/>
    </row>
    <row r="239" spans="1:1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5"/>
      <c r="M239" s="5"/>
    </row>
    <row r="240" spans="1:13">
      <c r="A240" s="14" t="s">
        <v>92</v>
      </c>
      <c r="B240" s="12" t="s">
        <v>201</v>
      </c>
      <c r="C240" s="12"/>
      <c r="D240" s="12"/>
      <c r="E240" s="12"/>
      <c r="F240" s="12" t="s">
        <v>201</v>
      </c>
      <c r="G240" s="12"/>
      <c r="H240" s="12"/>
      <c r="I240" s="12"/>
      <c r="J240" s="13">
        <v>7770</v>
      </c>
      <c r="K240" s="12" t="s">
        <v>24</v>
      </c>
      <c r="L240" s="5"/>
      <c r="M240" s="5"/>
    </row>
    <row r="241" spans="1:13">
      <c r="A241" s="13"/>
      <c r="B241" s="13">
        <v>25725</v>
      </c>
      <c r="C241" s="13"/>
      <c r="D241" s="13"/>
      <c r="E241" s="13"/>
      <c r="F241" s="13">
        <v>3465</v>
      </c>
      <c r="G241" s="13"/>
      <c r="H241" s="13"/>
      <c r="I241" s="12"/>
      <c r="J241" s="13"/>
      <c r="K241" s="13"/>
      <c r="L241" s="5"/>
      <c r="M241" s="5"/>
    </row>
    <row r="242" spans="1:1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5"/>
      <c r="M242" s="5"/>
    </row>
    <row r="243" spans="1:13">
      <c r="A243" s="33" t="s">
        <v>95</v>
      </c>
      <c r="B243" s="32" t="s">
        <v>1163</v>
      </c>
      <c r="C243" s="32" t="s">
        <v>611</v>
      </c>
      <c r="D243" s="32"/>
      <c r="E243" s="32" t="s">
        <v>611</v>
      </c>
      <c r="F243" s="32" t="s">
        <v>203</v>
      </c>
      <c r="G243" s="32"/>
      <c r="H243" s="32"/>
      <c r="I243" s="32"/>
      <c r="J243" s="30">
        <v>4160</v>
      </c>
      <c r="K243" s="32" t="s">
        <v>1164</v>
      </c>
      <c r="L243" s="5"/>
      <c r="M243" s="5"/>
    </row>
    <row r="244" spans="1:13">
      <c r="A244" s="30"/>
      <c r="B244" s="29">
        <v>11971</v>
      </c>
      <c r="C244" s="29">
        <v>930</v>
      </c>
      <c r="D244" s="29"/>
      <c r="E244" s="29">
        <v>202</v>
      </c>
      <c r="F244" s="29">
        <v>708</v>
      </c>
      <c r="G244" s="29"/>
      <c r="H244" s="29"/>
      <c r="I244" s="30"/>
      <c r="J244" s="30"/>
      <c r="K244" s="33"/>
      <c r="L244" s="5"/>
      <c r="M244" s="5"/>
    </row>
    <row r="245" spans="1:1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5"/>
      <c r="M245" s="5"/>
    </row>
    <row r="246" spans="1:13">
      <c r="A246" s="14" t="s">
        <v>98</v>
      </c>
      <c r="B246" s="12" t="s">
        <v>1352</v>
      </c>
      <c r="C246" s="15" t="s">
        <v>1522</v>
      </c>
      <c r="D246" s="12"/>
      <c r="E246" s="12" t="s">
        <v>1353</v>
      </c>
      <c r="F246" s="12" t="s">
        <v>1444</v>
      </c>
      <c r="G246" s="12"/>
      <c r="H246" s="12"/>
      <c r="I246" s="12"/>
      <c r="J246" s="13">
        <v>3089</v>
      </c>
      <c r="K246" s="12" t="s">
        <v>1354</v>
      </c>
      <c r="L246" s="5"/>
      <c r="M246" s="5"/>
    </row>
    <row r="247" spans="1:13">
      <c r="A247" s="13"/>
      <c r="B247" s="15">
        <v>9669</v>
      </c>
      <c r="C247" s="15">
        <v>369</v>
      </c>
      <c r="D247" s="15"/>
      <c r="E247" s="13">
        <v>170</v>
      </c>
      <c r="F247" s="13">
        <v>423</v>
      </c>
      <c r="G247" s="13"/>
      <c r="H247" s="13"/>
      <c r="I247" s="14"/>
      <c r="J247" s="13"/>
      <c r="K247" s="14"/>
      <c r="L247" s="5"/>
      <c r="M247" s="5"/>
    </row>
    <row r="248" spans="1:1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5"/>
      <c r="M248" s="5"/>
    </row>
    <row r="249" spans="1:13">
      <c r="A249" s="33" t="s">
        <v>103</v>
      </c>
      <c r="B249" s="32" t="s">
        <v>203</v>
      </c>
      <c r="C249" s="32" t="s">
        <v>529</v>
      </c>
      <c r="D249" s="32"/>
      <c r="E249" s="32" t="s">
        <v>529</v>
      </c>
      <c r="F249" s="32"/>
      <c r="G249" s="32"/>
      <c r="H249" s="32"/>
      <c r="I249" s="32"/>
      <c r="J249" s="30">
        <v>2755</v>
      </c>
      <c r="K249" s="32" t="s">
        <v>202</v>
      </c>
      <c r="L249" s="5"/>
      <c r="M249" s="5"/>
    </row>
    <row r="250" spans="1:13">
      <c r="A250" s="30"/>
      <c r="B250" s="29">
        <v>8421</v>
      </c>
      <c r="C250" s="29">
        <v>798</v>
      </c>
      <c r="D250" s="29"/>
      <c r="E250" s="29">
        <v>172</v>
      </c>
      <c r="F250" s="29"/>
      <c r="G250" s="29"/>
      <c r="H250" s="29"/>
      <c r="I250" s="33"/>
      <c r="J250" s="30"/>
      <c r="K250" s="30"/>
      <c r="L250" s="5"/>
      <c r="M250" s="5"/>
    </row>
    <row r="251" spans="1:13">
      <c r="A251" s="5"/>
      <c r="B251" s="13"/>
      <c r="C251" s="13"/>
      <c r="D251" s="13"/>
      <c r="E251" s="13"/>
      <c r="F251" s="13"/>
      <c r="G251" s="13"/>
      <c r="H251" s="13"/>
      <c r="I251" s="13"/>
      <c r="J251" s="13"/>
      <c r="K251" s="5"/>
      <c r="L251" s="5"/>
      <c r="M251" s="5"/>
    </row>
    <row r="252" spans="1:13">
      <c r="A252" s="14" t="s">
        <v>109</v>
      </c>
      <c r="B252" s="12" t="s">
        <v>1358</v>
      </c>
      <c r="C252" s="12" t="s">
        <v>1523</v>
      </c>
      <c r="D252" s="12"/>
      <c r="E252" s="12" t="s">
        <v>1523</v>
      </c>
      <c r="F252" s="12"/>
      <c r="G252" s="12"/>
      <c r="H252" s="12"/>
      <c r="I252" s="15"/>
      <c r="J252" s="13">
        <v>4423</v>
      </c>
      <c r="K252" s="12" t="s">
        <v>1360</v>
      </c>
      <c r="L252" s="5"/>
      <c r="M252" s="5"/>
    </row>
    <row r="253" spans="1:13">
      <c r="A253" s="13"/>
      <c r="B253" s="15">
        <v>10704</v>
      </c>
      <c r="C253" s="15">
        <v>422</v>
      </c>
      <c r="D253" s="15"/>
      <c r="E253" s="15">
        <v>129</v>
      </c>
      <c r="F253" s="15"/>
      <c r="G253" s="15"/>
      <c r="H253" s="15"/>
      <c r="I253" s="13"/>
      <c r="J253" s="13"/>
      <c r="K253" s="13"/>
      <c r="L253" s="5"/>
      <c r="M253" s="5"/>
    </row>
    <row r="254" spans="1:1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5"/>
      <c r="M254" s="5"/>
    </row>
    <row r="255" spans="1:13">
      <c r="A255" s="33" t="s">
        <v>113</v>
      </c>
      <c r="B255" s="32" t="s">
        <v>203</v>
      </c>
      <c r="C255" s="32" t="s">
        <v>1524</v>
      </c>
      <c r="D255" s="32"/>
      <c r="E255" s="32" t="s">
        <v>1525</v>
      </c>
      <c r="F255" s="32"/>
      <c r="G255" s="32"/>
      <c r="H255" s="32"/>
      <c r="I255" s="29"/>
      <c r="J255" s="30">
        <v>3638</v>
      </c>
      <c r="K255" s="32" t="s">
        <v>1169</v>
      </c>
      <c r="L255" s="5"/>
      <c r="M255" s="5"/>
    </row>
    <row r="256" spans="1:13">
      <c r="A256" s="30"/>
      <c r="B256" s="29">
        <v>10542</v>
      </c>
      <c r="C256" s="29">
        <v>2532</v>
      </c>
      <c r="D256" s="30"/>
      <c r="E256" s="29">
        <v>1062</v>
      </c>
      <c r="F256" s="29"/>
      <c r="G256" s="29"/>
      <c r="H256" s="29"/>
      <c r="I256" s="30"/>
      <c r="J256" s="30"/>
      <c r="K256" s="30"/>
      <c r="L256" s="5"/>
      <c r="M256" s="5"/>
    </row>
    <row r="257" spans="1:1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5"/>
      <c r="M257" s="5"/>
    </row>
    <row r="258" spans="1:13">
      <c r="A258" s="14" t="s">
        <v>124</v>
      </c>
      <c r="B258" s="12" t="s">
        <v>125</v>
      </c>
      <c r="C258" s="12"/>
      <c r="D258" s="12"/>
      <c r="E258" s="12" t="s">
        <v>1526</v>
      </c>
      <c r="F258" s="12" t="s">
        <v>313</v>
      </c>
      <c r="G258" s="12"/>
      <c r="H258" s="12"/>
      <c r="I258" s="12"/>
      <c r="J258" s="13">
        <v>5517</v>
      </c>
      <c r="K258" s="12" t="s">
        <v>126</v>
      </c>
      <c r="L258" s="5"/>
      <c r="M258" s="5"/>
    </row>
    <row r="259" spans="1:13">
      <c r="A259" s="13"/>
      <c r="B259" s="15">
        <v>16175</v>
      </c>
      <c r="C259" s="15"/>
      <c r="D259" s="15"/>
      <c r="E259" s="15">
        <v>908</v>
      </c>
      <c r="F259" s="15">
        <v>1364</v>
      </c>
      <c r="G259" s="15"/>
      <c r="H259" s="15"/>
      <c r="I259" s="15"/>
      <c r="J259" s="13"/>
      <c r="K259" s="13"/>
      <c r="L259" s="5"/>
      <c r="M259" s="5"/>
    </row>
    <row r="260" spans="1:1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5"/>
      <c r="M260" s="5"/>
    </row>
    <row r="261" spans="1:13">
      <c r="A261" s="33" t="s">
        <v>130</v>
      </c>
      <c r="B261" s="32" t="s">
        <v>246</v>
      </c>
      <c r="C261" s="32" t="s">
        <v>1363</v>
      </c>
      <c r="D261" s="30"/>
      <c r="E261" s="32" t="s">
        <v>1363</v>
      </c>
      <c r="F261" s="32" t="s">
        <v>246</v>
      </c>
      <c r="G261" s="32"/>
      <c r="H261" s="32"/>
      <c r="I261" s="29"/>
      <c r="J261" s="30">
        <v>4969</v>
      </c>
      <c r="K261" s="32" t="s">
        <v>247</v>
      </c>
      <c r="L261" s="5"/>
      <c r="M261" s="5"/>
    </row>
    <row r="262" spans="1:13">
      <c r="A262" s="30"/>
      <c r="B262" s="29">
        <v>15533</v>
      </c>
      <c r="C262" s="29">
        <v>3165</v>
      </c>
      <c r="D262" s="30"/>
      <c r="E262" s="29">
        <v>630</v>
      </c>
      <c r="F262" s="29">
        <v>1099</v>
      </c>
      <c r="G262" s="29"/>
      <c r="H262" s="29"/>
      <c r="I262" s="29"/>
      <c r="J262" s="30"/>
      <c r="K262" s="30"/>
      <c r="L262" s="5"/>
      <c r="M262" s="5"/>
    </row>
    <row r="263" spans="1:1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5"/>
      <c r="M263" s="5"/>
    </row>
    <row r="264" spans="1:13">
      <c r="A264" s="14" t="s">
        <v>136</v>
      </c>
      <c r="B264" s="12" t="s">
        <v>204</v>
      </c>
      <c r="C264" s="12" t="s">
        <v>1527</v>
      </c>
      <c r="D264" s="15"/>
      <c r="E264" s="12" t="s">
        <v>1527</v>
      </c>
      <c r="F264" s="12" t="s">
        <v>204</v>
      </c>
      <c r="G264" s="12"/>
      <c r="H264" s="12" t="s">
        <v>1078</v>
      </c>
      <c r="I264" s="15"/>
      <c r="J264" s="13">
        <v>3807</v>
      </c>
      <c r="K264" s="12" t="s">
        <v>205</v>
      </c>
      <c r="L264" s="5"/>
      <c r="M264" s="5"/>
    </row>
    <row r="265" spans="1:13">
      <c r="A265" s="13"/>
      <c r="B265" s="15">
        <v>13569</v>
      </c>
      <c r="C265" s="15">
        <v>591</v>
      </c>
      <c r="D265" s="15"/>
      <c r="E265" s="15">
        <v>150</v>
      </c>
      <c r="F265" s="15">
        <v>544</v>
      </c>
      <c r="G265" s="15"/>
      <c r="H265" s="15">
        <v>146</v>
      </c>
      <c r="I265" s="15"/>
      <c r="J265" s="13"/>
      <c r="K265" s="13"/>
      <c r="L265" s="5"/>
      <c r="M265" s="5"/>
    </row>
    <row r="266" spans="1:1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5"/>
      <c r="M266" s="5"/>
    </row>
    <row r="267" spans="1:13">
      <c r="A267" s="33" t="s">
        <v>140</v>
      </c>
      <c r="B267" s="29" t="s">
        <v>229</v>
      </c>
      <c r="C267" s="32" t="s">
        <v>1528</v>
      </c>
      <c r="D267" s="29"/>
      <c r="E267" s="32" t="s">
        <v>1529</v>
      </c>
      <c r="F267" s="32"/>
      <c r="G267" s="32"/>
      <c r="H267" s="32"/>
      <c r="I267" s="29"/>
      <c r="J267" s="30">
        <v>4089</v>
      </c>
      <c r="K267" s="32" t="s">
        <v>88</v>
      </c>
      <c r="L267" s="5"/>
      <c r="M267" s="5"/>
    </row>
    <row r="268" spans="1:13">
      <c r="A268" s="30"/>
      <c r="B268" s="29">
        <v>9992</v>
      </c>
      <c r="C268" s="29">
        <v>647</v>
      </c>
      <c r="D268" s="30"/>
      <c r="E268" s="30">
        <v>135</v>
      </c>
      <c r="F268" s="30"/>
      <c r="G268" s="30"/>
      <c r="H268" s="30"/>
      <c r="I268" s="29"/>
      <c r="J268" s="30"/>
      <c r="K268" s="30"/>
      <c r="L268" s="5"/>
      <c r="M268" s="5"/>
    </row>
    <row r="269" spans="1:1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5"/>
      <c r="M269" s="5"/>
    </row>
    <row r="270" spans="1:13">
      <c r="A270" s="14" t="s">
        <v>144</v>
      </c>
      <c r="B270" s="15" t="s">
        <v>1366</v>
      </c>
      <c r="C270" s="12" t="s">
        <v>1530</v>
      </c>
      <c r="D270" s="15"/>
      <c r="E270" s="12" t="s">
        <v>1530</v>
      </c>
      <c r="F270" s="12"/>
      <c r="G270" s="12"/>
      <c r="H270" s="12"/>
      <c r="I270" s="15"/>
      <c r="J270" s="13">
        <v>3673</v>
      </c>
      <c r="K270" s="12" t="s">
        <v>1369</v>
      </c>
      <c r="L270" s="5"/>
      <c r="M270" s="5"/>
    </row>
    <row r="271" spans="1:13">
      <c r="A271" s="13"/>
      <c r="B271" s="15">
        <v>10195</v>
      </c>
      <c r="C271" s="13">
        <v>438</v>
      </c>
      <c r="D271" s="15"/>
      <c r="E271" s="13">
        <v>116</v>
      </c>
      <c r="F271" s="13"/>
      <c r="G271" s="13"/>
      <c r="H271" s="13"/>
      <c r="I271" s="13"/>
      <c r="J271" s="13"/>
      <c r="K271" s="13"/>
      <c r="L271" s="5"/>
      <c r="M271" s="5"/>
    </row>
    <row r="272" spans="1:1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5"/>
      <c r="M272" s="5"/>
    </row>
    <row r="273" spans="1:13">
      <c r="A273" s="33" t="s">
        <v>148</v>
      </c>
      <c r="B273" s="29" t="s">
        <v>1531</v>
      </c>
      <c r="C273" s="32" t="s">
        <v>1532</v>
      </c>
      <c r="D273" s="30"/>
      <c r="E273" s="29" t="s">
        <v>1532</v>
      </c>
      <c r="F273" s="29"/>
      <c r="G273" s="29"/>
      <c r="H273" s="29"/>
      <c r="I273" s="29"/>
      <c r="J273" s="30">
        <v>3383</v>
      </c>
      <c r="K273" s="32" t="s">
        <v>1533</v>
      </c>
      <c r="L273" s="5"/>
      <c r="M273" s="5"/>
    </row>
    <row r="274" spans="1:13">
      <c r="A274" s="30"/>
      <c r="B274" s="29">
        <v>7810</v>
      </c>
      <c r="C274" s="30">
        <v>354</v>
      </c>
      <c r="D274" s="30"/>
      <c r="E274" s="30">
        <v>95</v>
      </c>
      <c r="F274" s="30"/>
      <c r="G274" s="30"/>
      <c r="H274" s="30"/>
      <c r="I274" s="30"/>
      <c r="J274" s="30"/>
      <c r="K274" s="30"/>
      <c r="L274" s="5"/>
      <c r="M274" s="5"/>
    </row>
    <row r="275" spans="1:1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5"/>
      <c r="M275" s="5"/>
    </row>
    <row r="276" spans="1:13">
      <c r="A276" s="14" t="s">
        <v>153</v>
      </c>
      <c r="B276" s="15" t="s">
        <v>189</v>
      </c>
      <c r="C276" s="12" t="s">
        <v>1534</v>
      </c>
      <c r="D276" s="12" t="s">
        <v>189</v>
      </c>
      <c r="E276" s="15" t="s">
        <v>1534</v>
      </c>
      <c r="F276" s="15"/>
      <c r="G276" s="15"/>
      <c r="H276" s="15"/>
      <c r="I276" s="15"/>
      <c r="J276" s="13">
        <v>4365</v>
      </c>
      <c r="K276" s="12" t="s">
        <v>433</v>
      </c>
      <c r="L276" s="5"/>
      <c r="M276" s="5"/>
    </row>
    <row r="277" spans="1:13">
      <c r="A277" s="13"/>
      <c r="B277" s="15">
        <v>15387</v>
      </c>
      <c r="C277" s="15">
        <v>3023</v>
      </c>
      <c r="D277" s="15">
        <v>857</v>
      </c>
      <c r="E277" s="13">
        <v>548</v>
      </c>
      <c r="F277" s="13"/>
      <c r="G277" s="13"/>
      <c r="H277" s="13"/>
      <c r="I277" s="13"/>
      <c r="J277" s="13"/>
      <c r="K277" s="13"/>
      <c r="L277" s="5"/>
      <c r="M277" s="5"/>
    </row>
    <row r="278" spans="1:1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5"/>
      <c r="M278" s="5"/>
    </row>
    <row r="279" spans="1:13">
      <c r="A279" s="33" t="s">
        <v>161</v>
      </c>
      <c r="B279" s="29" t="s">
        <v>206</v>
      </c>
      <c r="C279" s="32" t="s">
        <v>1535</v>
      </c>
      <c r="D279" s="32" t="s">
        <v>206</v>
      </c>
      <c r="E279" s="29"/>
      <c r="F279" s="29" t="s">
        <v>206</v>
      </c>
      <c r="G279" s="29"/>
      <c r="H279" s="29"/>
      <c r="I279" s="29"/>
      <c r="J279" s="30">
        <v>3761</v>
      </c>
      <c r="K279" s="32" t="s">
        <v>207</v>
      </c>
      <c r="L279" s="5"/>
      <c r="M279" s="5"/>
    </row>
    <row r="280" spans="1:13">
      <c r="A280" s="30"/>
      <c r="B280" s="29">
        <v>23057</v>
      </c>
      <c r="C280" s="29">
        <v>9544</v>
      </c>
      <c r="D280" s="29">
        <v>1197</v>
      </c>
      <c r="E280" s="30"/>
      <c r="F280" s="30">
        <v>809</v>
      </c>
      <c r="G280" s="30"/>
      <c r="H280" s="30"/>
      <c r="I280" s="30"/>
      <c r="J280" s="30"/>
      <c r="K280" s="30"/>
      <c r="L280" s="5"/>
      <c r="M280" s="5"/>
    </row>
    <row r="281" spans="1:1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5"/>
      <c r="M281" s="5"/>
    </row>
    <row r="282" spans="1:13">
      <c r="A282" s="14" t="s">
        <v>167</v>
      </c>
      <c r="B282" s="15" t="s">
        <v>1373</v>
      </c>
      <c r="C282" s="15"/>
      <c r="D282" s="15" t="s">
        <v>1373</v>
      </c>
      <c r="E282" s="13"/>
      <c r="F282" s="15" t="s">
        <v>1373</v>
      </c>
      <c r="G282" s="15"/>
      <c r="H282" s="13"/>
      <c r="I282" s="15"/>
      <c r="J282" s="13">
        <v>16306</v>
      </c>
      <c r="K282" s="12" t="s">
        <v>1374</v>
      </c>
      <c r="L282" s="5"/>
      <c r="M282" s="5"/>
    </row>
    <row r="283" spans="1:13">
      <c r="A283" s="13"/>
      <c r="B283" s="15">
        <v>25262</v>
      </c>
      <c r="C283" s="15"/>
      <c r="D283" s="13">
        <v>1721</v>
      </c>
      <c r="E283" s="13"/>
      <c r="F283" s="13">
        <v>932</v>
      </c>
      <c r="G283" s="13"/>
      <c r="H283" s="13"/>
      <c r="I283" s="13"/>
      <c r="J283" s="13"/>
      <c r="K283" s="13"/>
      <c r="L283" s="5"/>
      <c r="M283" s="5"/>
    </row>
    <row r="284" spans="1:1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5"/>
      <c r="M284" s="5"/>
    </row>
    <row r="285" spans="1:13">
      <c r="A285" s="33" t="s">
        <v>172</v>
      </c>
      <c r="B285" s="29" t="s">
        <v>230</v>
      </c>
      <c r="C285" s="32"/>
      <c r="D285" s="29" t="s">
        <v>230</v>
      </c>
      <c r="E285" s="30"/>
      <c r="F285" s="29" t="s">
        <v>230</v>
      </c>
      <c r="G285" s="29"/>
      <c r="H285" s="30"/>
      <c r="I285" s="29"/>
      <c r="J285" s="30">
        <v>16027</v>
      </c>
      <c r="K285" s="32" t="s">
        <v>173</v>
      </c>
      <c r="L285" s="5"/>
      <c r="M285" s="5"/>
    </row>
    <row r="286" spans="1:13">
      <c r="A286" s="30"/>
      <c r="B286" s="29">
        <v>22406</v>
      </c>
      <c r="C286" s="29"/>
      <c r="D286" s="30">
        <v>2207</v>
      </c>
      <c r="E286" s="30"/>
      <c r="F286" s="30">
        <v>1415</v>
      </c>
      <c r="G286" s="30"/>
      <c r="H286" s="30"/>
      <c r="I286" s="30"/>
      <c r="J286" s="30"/>
      <c r="K286" s="30"/>
      <c r="L286" s="5"/>
      <c r="M286" s="5"/>
    </row>
    <row r="287" spans="1:1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5"/>
      <c r="M287" s="5"/>
    </row>
    <row r="288" spans="1:13">
      <c r="A288" s="14" t="s">
        <v>177</v>
      </c>
      <c r="B288" s="15" t="s">
        <v>1179</v>
      </c>
      <c r="C288" s="12"/>
      <c r="D288" s="12" t="s">
        <v>1179</v>
      </c>
      <c r="E288" s="12"/>
      <c r="F288" s="12" t="s">
        <v>1179</v>
      </c>
      <c r="G288" s="12"/>
      <c r="H288" s="12"/>
      <c r="I288" s="15"/>
      <c r="J288" s="13">
        <v>11054</v>
      </c>
      <c r="K288" s="12" t="s">
        <v>1180</v>
      </c>
      <c r="L288" s="5"/>
      <c r="M288" s="5"/>
    </row>
    <row r="289" spans="1:13">
      <c r="A289" s="13"/>
      <c r="B289" s="13">
        <v>19521</v>
      </c>
      <c r="C289" s="14"/>
      <c r="D289" s="13">
        <v>1410</v>
      </c>
      <c r="E289" s="13"/>
      <c r="F289" s="13">
        <v>899</v>
      </c>
      <c r="G289" s="13"/>
      <c r="H289" s="13"/>
      <c r="I289" s="13"/>
      <c r="J289" s="13"/>
      <c r="K289" s="5"/>
      <c r="L289" s="5"/>
      <c r="M289" s="5"/>
    </row>
    <row r="290" spans="1:13">
      <c r="A290" s="13"/>
      <c r="B290" s="13"/>
      <c r="C290" s="14"/>
      <c r="D290" s="13"/>
      <c r="E290" s="13"/>
      <c r="F290" s="13"/>
      <c r="G290" s="13"/>
      <c r="H290" s="13"/>
      <c r="I290" s="13"/>
      <c r="J290" s="13"/>
      <c r="K290" s="5"/>
      <c r="L290" s="5"/>
      <c r="M290" s="5"/>
    </row>
    <row r="291" spans="1:13">
      <c r="A291" s="33" t="s">
        <v>6</v>
      </c>
      <c r="B291" s="29" t="s">
        <v>1376</v>
      </c>
      <c r="C291" s="32"/>
      <c r="D291" s="29" t="s">
        <v>1376</v>
      </c>
      <c r="E291" s="29" t="s">
        <v>1536</v>
      </c>
      <c r="F291" s="29" t="s">
        <v>1376</v>
      </c>
      <c r="G291" s="29"/>
      <c r="H291" s="29"/>
      <c r="I291" s="29"/>
      <c r="J291" s="30">
        <v>14364</v>
      </c>
      <c r="K291" s="32" t="s">
        <v>1377</v>
      </c>
      <c r="L291" s="5"/>
      <c r="M291" s="5"/>
    </row>
    <row r="292" spans="1:13">
      <c r="A292" s="30"/>
      <c r="B292" s="30">
        <v>27177</v>
      </c>
      <c r="C292" s="30"/>
      <c r="D292" s="30">
        <v>1765</v>
      </c>
      <c r="E292" s="30">
        <v>1870</v>
      </c>
      <c r="F292" s="30">
        <v>1081</v>
      </c>
      <c r="G292" s="30"/>
      <c r="H292" s="30"/>
      <c r="I292" s="30"/>
      <c r="J292" s="30"/>
      <c r="K292" s="30"/>
      <c r="L292" s="5"/>
      <c r="M292" s="5"/>
    </row>
    <row r="293" spans="1:1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5"/>
      <c r="M293" s="5"/>
    </row>
    <row r="294" spans="1:13">
      <c r="A294" s="14" t="s">
        <v>13</v>
      </c>
      <c r="B294" s="15" t="s">
        <v>357</v>
      </c>
      <c r="C294" s="15" t="s">
        <v>1182</v>
      </c>
      <c r="D294" s="15" t="s">
        <v>1182</v>
      </c>
      <c r="E294" s="15" t="s">
        <v>1182</v>
      </c>
      <c r="F294" s="15" t="s">
        <v>357</v>
      </c>
      <c r="G294" s="15"/>
      <c r="H294" s="15"/>
      <c r="I294" s="15"/>
      <c r="J294" s="13">
        <v>2882</v>
      </c>
      <c r="K294" s="12" t="s">
        <v>1185</v>
      </c>
      <c r="L294" s="5"/>
      <c r="M294" s="5"/>
    </row>
    <row r="295" spans="1:13">
      <c r="A295" s="13"/>
      <c r="B295" s="13">
        <v>15354</v>
      </c>
      <c r="C295" s="13">
        <v>14308</v>
      </c>
      <c r="D295" s="13">
        <v>1337</v>
      </c>
      <c r="E295" s="13">
        <v>1827</v>
      </c>
      <c r="F295" s="13">
        <v>734</v>
      </c>
      <c r="G295" s="13"/>
      <c r="H295" s="13"/>
      <c r="I295" s="13"/>
      <c r="J295" s="13"/>
      <c r="K295" s="13"/>
      <c r="L295" s="5"/>
      <c r="M295" s="5"/>
    </row>
    <row r="296" spans="1:1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5"/>
      <c r="M296" s="5"/>
    </row>
    <row r="297" spans="1:13">
      <c r="A297" s="33" t="s">
        <v>22</v>
      </c>
      <c r="B297" s="29" t="s">
        <v>248</v>
      </c>
      <c r="C297" s="29"/>
      <c r="D297" s="29" t="s">
        <v>248</v>
      </c>
      <c r="E297" s="29"/>
      <c r="F297" s="29" t="s">
        <v>248</v>
      </c>
      <c r="G297" s="29" t="s">
        <v>2013</v>
      </c>
      <c r="H297" s="29"/>
      <c r="I297" s="29"/>
      <c r="J297" s="30">
        <v>14248</v>
      </c>
      <c r="K297" s="32" t="s">
        <v>1537</v>
      </c>
      <c r="L297" s="5"/>
      <c r="M297" s="5"/>
    </row>
    <row r="298" spans="1:13">
      <c r="A298" s="30"/>
      <c r="B298" s="30">
        <v>20214</v>
      </c>
      <c r="C298" s="30"/>
      <c r="D298" s="30">
        <v>2185</v>
      </c>
      <c r="E298" s="30"/>
      <c r="F298" s="30">
        <v>1041</v>
      </c>
      <c r="G298" s="30">
        <v>1390</v>
      </c>
      <c r="H298" s="30"/>
      <c r="I298" s="30"/>
      <c r="J298" s="30"/>
      <c r="K298" s="30"/>
      <c r="L298" s="5"/>
      <c r="M298" s="5"/>
    </row>
    <row r="299" spans="1:13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5"/>
      <c r="M299" s="5"/>
    </row>
    <row r="300" spans="1:13" ht="17.25">
      <c r="A300" s="33" t="s">
        <v>1602</v>
      </c>
      <c r="B300" s="29" t="s">
        <v>248</v>
      </c>
      <c r="C300" s="29" t="s">
        <v>809</v>
      </c>
      <c r="D300" s="29" t="s">
        <v>248</v>
      </c>
      <c r="E300" s="29" t="s">
        <v>248</v>
      </c>
      <c r="F300" s="29" t="s">
        <v>248</v>
      </c>
      <c r="G300" s="29"/>
      <c r="H300" s="29"/>
      <c r="I300" s="29"/>
      <c r="J300" s="29">
        <v>33</v>
      </c>
      <c r="K300" s="29" t="s">
        <v>283</v>
      </c>
      <c r="L300" s="5"/>
      <c r="M300" s="5"/>
    </row>
    <row r="301" spans="1:13">
      <c r="A301" s="30"/>
      <c r="B301" s="30">
        <v>3257</v>
      </c>
      <c r="C301" s="30">
        <v>1268</v>
      </c>
      <c r="D301" s="30">
        <v>183</v>
      </c>
      <c r="E301" s="30">
        <v>324</v>
      </c>
      <c r="F301" s="30">
        <v>149</v>
      </c>
      <c r="G301" s="30"/>
      <c r="H301" s="30"/>
      <c r="I301" s="30"/>
      <c r="J301" s="30"/>
      <c r="K301" s="30"/>
      <c r="L301" s="5"/>
      <c r="M301" s="5"/>
    </row>
    <row r="302" spans="1:1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5"/>
      <c r="M302" s="5"/>
    </row>
    <row r="303" spans="1:13">
      <c r="A303" s="14" t="s">
        <v>28</v>
      </c>
      <c r="B303" s="15" t="s">
        <v>267</v>
      </c>
      <c r="C303" s="12" t="s">
        <v>809</v>
      </c>
      <c r="D303" s="12" t="s">
        <v>267</v>
      </c>
      <c r="E303" s="15" t="s">
        <v>809</v>
      </c>
      <c r="F303" s="15"/>
      <c r="G303" s="15"/>
      <c r="H303" s="15"/>
      <c r="I303" s="15"/>
      <c r="J303" s="13">
        <v>4227</v>
      </c>
      <c r="K303" s="12" t="s">
        <v>268</v>
      </c>
      <c r="L303" s="5"/>
      <c r="M303" s="5"/>
    </row>
    <row r="304" spans="1:13">
      <c r="A304" s="13"/>
      <c r="B304" s="13">
        <v>17403</v>
      </c>
      <c r="C304" s="13">
        <v>10318</v>
      </c>
      <c r="D304" s="13">
        <v>1375</v>
      </c>
      <c r="E304" s="13">
        <v>1592</v>
      </c>
      <c r="F304" s="13"/>
      <c r="G304" s="13"/>
      <c r="H304" s="13"/>
      <c r="I304" s="13"/>
      <c r="J304" s="13"/>
      <c r="K304" s="13"/>
      <c r="L304" s="5"/>
      <c r="M304" s="5"/>
    </row>
    <row r="305" spans="1:1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5"/>
      <c r="M305" s="5"/>
    </row>
    <row r="306" spans="1:13">
      <c r="A306" s="33" t="s">
        <v>32</v>
      </c>
      <c r="B306" s="29" t="s">
        <v>1379</v>
      </c>
      <c r="C306" s="32" t="s">
        <v>438</v>
      </c>
      <c r="D306" s="29" t="s">
        <v>1379</v>
      </c>
      <c r="E306" s="32" t="s">
        <v>438</v>
      </c>
      <c r="F306" s="32" t="s">
        <v>1379</v>
      </c>
      <c r="G306" s="32"/>
      <c r="H306" s="32"/>
      <c r="I306" s="29"/>
      <c r="J306" s="30">
        <v>2744</v>
      </c>
      <c r="K306" s="32" t="s">
        <v>1190</v>
      </c>
      <c r="L306" s="5"/>
      <c r="M306" s="5"/>
    </row>
    <row r="307" spans="1:13">
      <c r="A307" s="30"/>
      <c r="B307" s="30">
        <v>15463</v>
      </c>
      <c r="C307" s="30">
        <v>16580</v>
      </c>
      <c r="D307" s="30">
        <v>968</v>
      </c>
      <c r="E307" s="30">
        <v>2362</v>
      </c>
      <c r="F307" s="30">
        <v>602</v>
      </c>
      <c r="G307" s="30"/>
      <c r="H307" s="30"/>
      <c r="I307" s="30"/>
      <c r="J307" s="30"/>
      <c r="K307" s="30" t="s">
        <v>33</v>
      </c>
      <c r="L307" s="5"/>
      <c r="M307" s="5"/>
    </row>
    <row r="308" spans="1:1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5"/>
      <c r="M308" s="5"/>
    </row>
    <row r="309" spans="1:13">
      <c r="A309" s="14" t="s">
        <v>39</v>
      </c>
      <c r="B309" s="15" t="s">
        <v>1538</v>
      </c>
      <c r="C309" s="12" t="s">
        <v>1029</v>
      </c>
      <c r="D309" s="12" t="s">
        <v>1029</v>
      </c>
      <c r="E309" s="15" t="s">
        <v>1029</v>
      </c>
      <c r="F309" s="15" t="s">
        <v>1538</v>
      </c>
      <c r="G309" s="15"/>
      <c r="H309" s="15"/>
      <c r="I309" s="15"/>
      <c r="J309" s="13">
        <v>2755</v>
      </c>
      <c r="K309" s="12" t="s">
        <v>1030</v>
      </c>
      <c r="L309" s="5"/>
      <c r="M309" s="5"/>
    </row>
    <row r="310" spans="1:13">
      <c r="A310" s="13"/>
      <c r="B310" s="13">
        <v>15716</v>
      </c>
      <c r="C310" s="13">
        <v>16780</v>
      </c>
      <c r="D310" s="13">
        <v>1277</v>
      </c>
      <c r="E310" s="13">
        <v>1777</v>
      </c>
      <c r="F310" s="13">
        <v>669</v>
      </c>
      <c r="G310" s="13"/>
      <c r="H310" s="13"/>
      <c r="I310" s="13"/>
      <c r="J310" s="13"/>
      <c r="K310" s="13"/>
      <c r="L310" s="5"/>
      <c r="M310" s="5"/>
    </row>
    <row r="311" spans="1:1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5"/>
      <c r="M311" s="5"/>
    </row>
    <row r="312" spans="1:13">
      <c r="A312" s="33" t="s">
        <v>48</v>
      </c>
      <c r="B312" s="29" t="s">
        <v>241</v>
      </c>
      <c r="C312" s="32"/>
      <c r="D312" s="29"/>
      <c r="E312" s="29" t="s">
        <v>241</v>
      </c>
      <c r="F312" s="29"/>
      <c r="G312" s="29"/>
      <c r="H312" s="29"/>
      <c r="I312" s="29"/>
      <c r="J312" s="30">
        <v>12056</v>
      </c>
      <c r="K312" s="32" t="s">
        <v>242</v>
      </c>
      <c r="L312" s="5"/>
      <c r="M312" s="5"/>
    </row>
    <row r="313" spans="1:13">
      <c r="A313" s="30"/>
      <c r="B313" s="30">
        <v>19856</v>
      </c>
      <c r="C313" s="30"/>
      <c r="D313" s="30"/>
      <c r="E313" s="30">
        <v>2769</v>
      </c>
      <c r="F313" s="30"/>
      <c r="G313" s="30"/>
      <c r="H313" s="30"/>
      <c r="I313" s="30"/>
      <c r="J313" s="30"/>
      <c r="K313" s="30"/>
      <c r="L313" s="5"/>
      <c r="M313" s="5"/>
    </row>
    <row r="314" spans="1:1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5"/>
      <c r="M314" s="5"/>
    </row>
    <row r="315" spans="1:13">
      <c r="A315" s="14" t="s">
        <v>56</v>
      </c>
      <c r="B315" s="15" t="s">
        <v>1539</v>
      </c>
      <c r="C315" s="12" t="s">
        <v>1382</v>
      </c>
      <c r="D315" s="12" t="s">
        <v>1540</v>
      </c>
      <c r="E315" s="12" t="s">
        <v>1540</v>
      </c>
      <c r="F315" s="12" t="s">
        <v>1539</v>
      </c>
      <c r="G315" s="12"/>
      <c r="H315" s="12"/>
      <c r="I315" s="15"/>
      <c r="J315" s="13">
        <v>4050</v>
      </c>
      <c r="K315" s="12" t="s">
        <v>1383</v>
      </c>
      <c r="L315" s="5"/>
      <c r="M315" s="5"/>
    </row>
    <row r="316" spans="1:13">
      <c r="A316" s="13"/>
      <c r="B316" s="13">
        <v>16427</v>
      </c>
      <c r="C316" s="13">
        <v>20956</v>
      </c>
      <c r="D316" s="13">
        <v>1857</v>
      </c>
      <c r="E316" s="13">
        <v>1371</v>
      </c>
      <c r="F316" s="13">
        <v>728</v>
      </c>
      <c r="G316" s="13"/>
      <c r="H316" s="13"/>
      <c r="I316" s="13"/>
      <c r="J316" s="13"/>
      <c r="K316" s="13"/>
      <c r="L316" s="5"/>
      <c r="M316" s="5"/>
    </row>
    <row r="317" spans="1:1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5"/>
      <c r="M317" s="5"/>
    </row>
    <row r="318" spans="1:13">
      <c r="A318" s="33" t="s">
        <v>1384</v>
      </c>
      <c r="B318" s="29" t="s">
        <v>1525</v>
      </c>
      <c r="C318" s="32" t="s">
        <v>1195</v>
      </c>
      <c r="D318" s="32" t="s">
        <v>1195</v>
      </c>
      <c r="E318" s="29" t="s">
        <v>1195</v>
      </c>
      <c r="F318" s="29" t="s">
        <v>1525</v>
      </c>
      <c r="G318" s="29"/>
      <c r="H318" s="29"/>
      <c r="I318" s="29"/>
      <c r="J318" s="30">
        <v>2936</v>
      </c>
      <c r="K318" s="32" t="s">
        <v>1196</v>
      </c>
      <c r="L318" s="5"/>
      <c r="M318" s="5"/>
    </row>
    <row r="319" spans="1:13">
      <c r="A319" s="30"/>
      <c r="B319" s="30">
        <v>11458</v>
      </c>
      <c r="C319" s="30">
        <v>12555</v>
      </c>
      <c r="D319" s="30">
        <v>1341</v>
      </c>
      <c r="E319" s="30">
        <v>1332</v>
      </c>
      <c r="F319" s="30">
        <v>638</v>
      </c>
      <c r="G319" s="30"/>
      <c r="H319" s="30"/>
      <c r="I319" s="30"/>
      <c r="J319" s="30"/>
      <c r="K319" s="30"/>
      <c r="L319" s="5"/>
      <c r="M319" s="5"/>
    </row>
    <row r="320" spans="1:13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5"/>
      <c r="M320" s="5"/>
    </row>
    <row r="321" spans="1:13">
      <c r="A321" s="14" t="s">
        <v>63</v>
      </c>
      <c r="B321" s="15" t="s">
        <v>190</v>
      </c>
      <c r="C321" s="15"/>
      <c r="D321" s="15" t="s">
        <v>190</v>
      </c>
      <c r="E321" s="13"/>
      <c r="F321" s="15" t="s">
        <v>190</v>
      </c>
      <c r="G321" s="15"/>
      <c r="H321" s="13"/>
      <c r="I321" s="15"/>
      <c r="J321" s="13">
        <v>16492</v>
      </c>
      <c r="K321" s="12" t="s">
        <v>208</v>
      </c>
      <c r="L321" s="5"/>
      <c r="M321" s="5"/>
    </row>
    <row r="322" spans="1:13">
      <c r="A322" s="13"/>
      <c r="B322" s="13">
        <v>25577</v>
      </c>
      <c r="C322" s="13"/>
      <c r="D322" s="13">
        <v>2865</v>
      </c>
      <c r="E322" s="13"/>
      <c r="F322" s="13">
        <v>1937</v>
      </c>
      <c r="G322" s="13"/>
      <c r="H322" s="13"/>
      <c r="I322" s="13"/>
      <c r="J322" s="13"/>
      <c r="K322" s="13"/>
      <c r="L322" s="5"/>
      <c r="M322" s="5"/>
    </row>
    <row r="323" spans="1:13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5"/>
      <c r="M323" s="5"/>
    </row>
    <row r="324" spans="1:13">
      <c r="A324" s="33" t="s">
        <v>70</v>
      </c>
      <c r="B324" s="29" t="s">
        <v>1541</v>
      </c>
      <c r="C324" s="32" t="s">
        <v>231</v>
      </c>
      <c r="D324" s="32" t="s">
        <v>231</v>
      </c>
      <c r="E324" s="32" t="s">
        <v>1542</v>
      </c>
      <c r="F324" s="32"/>
      <c r="G324" s="32"/>
      <c r="H324" s="32"/>
      <c r="I324" s="29"/>
      <c r="J324" s="30">
        <v>3224</v>
      </c>
      <c r="K324" s="32" t="s">
        <v>1199</v>
      </c>
      <c r="L324" s="5"/>
      <c r="M324" s="5"/>
    </row>
    <row r="325" spans="1:13">
      <c r="A325" s="30"/>
      <c r="B325" s="30">
        <v>14968</v>
      </c>
      <c r="C325" s="30">
        <v>17352</v>
      </c>
      <c r="D325" s="30">
        <v>2013</v>
      </c>
      <c r="E325" s="30">
        <v>2055</v>
      </c>
      <c r="F325" s="30"/>
      <c r="G325" s="30"/>
      <c r="H325" s="30"/>
      <c r="I325" s="30"/>
      <c r="J325" s="30"/>
      <c r="K325" s="30"/>
      <c r="L325" s="5"/>
      <c r="M325" s="5"/>
    </row>
    <row r="326" spans="1:13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5"/>
      <c r="M326" s="5"/>
    </row>
    <row r="327" spans="1:13">
      <c r="A327" s="14" t="s">
        <v>78</v>
      </c>
      <c r="B327" s="15" t="s">
        <v>1543</v>
      </c>
      <c r="C327" s="12" t="s">
        <v>1201</v>
      </c>
      <c r="D327" s="12" t="s">
        <v>1201</v>
      </c>
      <c r="E327" s="12" t="s">
        <v>1201</v>
      </c>
      <c r="F327" s="12" t="s">
        <v>1543</v>
      </c>
      <c r="G327" s="12"/>
      <c r="H327" s="12"/>
      <c r="I327" s="15"/>
      <c r="J327" s="13">
        <v>3839</v>
      </c>
      <c r="K327" s="12" t="s">
        <v>1544</v>
      </c>
      <c r="L327" s="5"/>
      <c r="M327" s="5"/>
    </row>
    <row r="328" spans="1:13">
      <c r="A328" s="13"/>
      <c r="B328" s="13">
        <v>16344</v>
      </c>
      <c r="C328" s="13">
        <v>18217</v>
      </c>
      <c r="D328" s="13">
        <v>1748</v>
      </c>
      <c r="E328" s="13">
        <v>2100</v>
      </c>
      <c r="F328" s="13">
        <v>1187</v>
      </c>
      <c r="G328" s="13"/>
      <c r="H328" s="13"/>
      <c r="I328" s="13"/>
      <c r="J328" s="13"/>
      <c r="K328" s="13"/>
      <c r="L328" s="5"/>
      <c r="M328" s="5"/>
    </row>
    <row r="329" spans="1:13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5"/>
      <c r="M329" s="5"/>
    </row>
    <row r="330" spans="1:13">
      <c r="A330" s="33" t="s">
        <v>84</v>
      </c>
      <c r="B330" s="29" t="s">
        <v>1203</v>
      </c>
      <c r="C330" s="32"/>
      <c r="D330" s="29" t="s">
        <v>1205</v>
      </c>
      <c r="E330" s="30"/>
      <c r="F330" s="29" t="s">
        <v>1205</v>
      </c>
      <c r="G330" s="29"/>
      <c r="H330" s="30"/>
      <c r="I330" s="29"/>
      <c r="J330" s="30">
        <v>10550</v>
      </c>
      <c r="K330" s="32" t="s">
        <v>1207</v>
      </c>
      <c r="L330" s="5"/>
      <c r="M330" s="5"/>
    </row>
    <row r="331" spans="1:13">
      <c r="A331" s="30"/>
      <c r="B331" s="30">
        <v>31105</v>
      </c>
      <c r="C331" s="30"/>
      <c r="D331" s="30">
        <v>3265</v>
      </c>
      <c r="E331" s="30"/>
      <c r="F331" s="30">
        <v>2436</v>
      </c>
      <c r="G331" s="30"/>
      <c r="H331" s="30"/>
      <c r="I331" s="30"/>
      <c r="J331" s="30"/>
      <c r="K331" s="30"/>
      <c r="L331" s="5"/>
      <c r="M331" s="5"/>
    </row>
    <row r="332" spans="1:13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5"/>
      <c r="M332" s="5"/>
    </row>
    <row r="333" spans="1:13">
      <c r="A333" s="14" t="s">
        <v>89</v>
      </c>
      <c r="B333" s="15" t="s">
        <v>1545</v>
      </c>
      <c r="C333" s="12" t="s">
        <v>1546</v>
      </c>
      <c r="D333" s="12" t="s">
        <v>1547</v>
      </c>
      <c r="E333" s="15" t="s">
        <v>1546</v>
      </c>
      <c r="F333" s="15" t="s">
        <v>1547</v>
      </c>
      <c r="G333" s="15"/>
      <c r="H333" s="15"/>
      <c r="I333" s="15"/>
      <c r="J333" s="13">
        <v>2645</v>
      </c>
      <c r="K333" s="12" t="s">
        <v>1548</v>
      </c>
      <c r="L333" s="5"/>
      <c r="M333" s="5"/>
    </row>
    <row r="334" spans="1:13">
      <c r="A334" s="13"/>
      <c r="B334" s="13">
        <v>23945</v>
      </c>
      <c r="C334" s="13">
        <v>7852</v>
      </c>
      <c r="D334" s="13">
        <v>3038</v>
      </c>
      <c r="E334" s="13">
        <v>1537</v>
      </c>
      <c r="F334" s="13">
        <v>1260</v>
      </c>
      <c r="G334" s="13"/>
      <c r="H334" s="13"/>
      <c r="I334" s="13"/>
      <c r="J334" s="13"/>
      <c r="K334" s="13"/>
      <c r="L334" s="5"/>
      <c r="M334" s="5"/>
    </row>
    <row r="335" spans="1:13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5"/>
      <c r="M335" s="5"/>
    </row>
    <row r="336" spans="1:13" ht="17.25">
      <c r="A336" s="14" t="s">
        <v>1603</v>
      </c>
      <c r="B336" s="15" t="s">
        <v>1549</v>
      </c>
      <c r="C336" s="15" t="s">
        <v>1208</v>
      </c>
      <c r="D336" s="15" t="s">
        <v>1549</v>
      </c>
      <c r="E336" s="15" t="s">
        <v>1208</v>
      </c>
      <c r="F336" s="15" t="s">
        <v>1549</v>
      </c>
      <c r="G336" s="15"/>
      <c r="H336" s="15"/>
      <c r="I336" s="15"/>
      <c r="J336" s="15">
        <v>101</v>
      </c>
      <c r="K336" s="15" t="s">
        <v>1210</v>
      </c>
      <c r="L336" s="5"/>
      <c r="M336" s="5"/>
    </row>
    <row r="337" spans="1:13">
      <c r="A337" s="13"/>
      <c r="B337" s="13">
        <v>9754</v>
      </c>
      <c r="C337" s="13">
        <v>12099</v>
      </c>
      <c r="D337" s="13">
        <v>985</v>
      </c>
      <c r="E337" s="13">
        <v>2079</v>
      </c>
      <c r="F337" s="13">
        <v>447</v>
      </c>
      <c r="G337" s="13"/>
      <c r="H337" s="13"/>
      <c r="I337" s="13"/>
      <c r="J337" s="13"/>
      <c r="K337" s="13"/>
      <c r="L337" s="5"/>
      <c r="M337" s="5"/>
    </row>
    <row r="338" spans="1:13">
      <c r="A338" s="5"/>
      <c r="B338" s="13"/>
      <c r="C338" s="13"/>
      <c r="D338" s="13"/>
      <c r="E338" s="13"/>
      <c r="F338" s="13"/>
      <c r="G338" s="13"/>
      <c r="H338" s="13"/>
      <c r="I338" s="13"/>
      <c r="J338" s="13"/>
      <c r="K338" s="5"/>
      <c r="L338" s="5"/>
      <c r="M338" s="5"/>
    </row>
    <row r="339" spans="1:13">
      <c r="A339" s="33" t="s">
        <v>96</v>
      </c>
      <c r="B339" s="29" t="s">
        <v>1211</v>
      </c>
      <c r="C339" s="32" t="s">
        <v>1550</v>
      </c>
      <c r="D339" s="32" t="s">
        <v>1550</v>
      </c>
      <c r="E339" s="32" t="s">
        <v>1550</v>
      </c>
      <c r="F339" s="32" t="s">
        <v>1607</v>
      </c>
      <c r="G339" s="32"/>
      <c r="H339" s="32"/>
      <c r="I339" s="29"/>
      <c r="J339" s="30">
        <v>3593</v>
      </c>
      <c r="K339" s="32" t="s">
        <v>1213</v>
      </c>
      <c r="L339" s="5"/>
      <c r="M339" s="5"/>
    </row>
    <row r="340" spans="1:13">
      <c r="A340" s="30"/>
      <c r="B340" s="30">
        <v>25669</v>
      </c>
      <c r="C340" s="30">
        <v>6751</v>
      </c>
      <c r="D340" s="30">
        <v>1350</v>
      </c>
      <c r="E340" s="30">
        <v>1216</v>
      </c>
      <c r="F340" s="30">
        <v>679</v>
      </c>
      <c r="G340" s="30"/>
      <c r="H340" s="30"/>
      <c r="I340" s="30"/>
      <c r="J340" s="30"/>
      <c r="K340" s="30"/>
      <c r="L340" s="5"/>
      <c r="M340" s="5"/>
    </row>
    <row r="341" spans="1:13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5"/>
      <c r="M341" s="5"/>
    </row>
    <row r="342" spans="1:13">
      <c r="A342" s="14" t="s">
        <v>99</v>
      </c>
      <c r="B342" s="15" t="s">
        <v>1551</v>
      </c>
      <c r="C342" s="12" t="s">
        <v>232</v>
      </c>
      <c r="D342" s="12"/>
      <c r="E342" s="12"/>
      <c r="F342" s="12" t="s">
        <v>1551</v>
      </c>
      <c r="G342" s="12"/>
      <c r="H342" s="12"/>
      <c r="I342" s="15"/>
      <c r="J342" s="13">
        <v>5150</v>
      </c>
      <c r="K342" s="12" t="s">
        <v>240</v>
      </c>
      <c r="L342" s="5"/>
      <c r="M342" s="5"/>
    </row>
    <row r="343" spans="1:13">
      <c r="A343" s="13"/>
      <c r="B343" s="13">
        <v>13986</v>
      </c>
      <c r="C343" s="13">
        <v>22420</v>
      </c>
      <c r="D343" s="13"/>
      <c r="E343" s="13"/>
      <c r="F343" s="13">
        <v>1015</v>
      </c>
      <c r="G343" s="13"/>
      <c r="H343" s="13"/>
      <c r="I343" s="13"/>
      <c r="J343" s="13"/>
      <c r="K343" s="13"/>
      <c r="L343" s="5"/>
      <c r="M343" s="5"/>
    </row>
    <row r="344" spans="1:13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5"/>
      <c r="M344" s="5"/>
    </row>
    <row r="345" spans="1:13">
      <c r="A345" s="33" t="s">
        <v>111</v>
      </c>
      <c r="B345" s="29" t="s">
        <v>1214</v>
      </c>
      <c r="C345" s="32" t="s">
        <v>461</v>
      </c>
      <c r="D345" s="32" t="s">
        <v>1214</v>
      </c>
      <c r="E345" s="32" t="s">
        <v>461</v>
      </c>
      <c r="F345" s="32" t="s">
        <v>1608</v>
      </c>
      <c r="G345" s="32"/>
      <c r="H345" s="32"/>
      <c r="I345" s="29"/>
      <c r="J345" s="30">
        <v>4959</v>
      </c>
      <c r="K345" s="32" t="s">
        <v>1389</v>
      </c>
      <c r="L345" s="5"/>
      <c r="M345" s="5"/>
    </row>
    <row r="346" spans="1:13">
      <c r="A346" s="30"/>
      <c r="B346" s="30">
        <v>22409</v>
      </c>
      <c r="C346" s="30">
        <v>19245</v>
      </c>
      <c r="D346" s="30">
        <v>3836</v>
      </c>
      <c r="E346" s="30">
        <v>3300</v>
      </c>
      <c r="F346" s="30">
        <v>2001</v>
      </c>
      <c r="G346" s="30"/>
      <c r="H346" s="30"/>
      <c r="I346" s="30"/>
      <c r="J346" s="30"/>
      <c r="K346" s="30"/>
      <c r="L346" s="5"/>
      <c r="M346" s="5"/>
    </row>
    <row r="347" spans="1:13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5"/>
      <c r="M347" s="5"/>
    </row>
    <row r="348" spans="1:13">
      <c r="A348" s="14" t="s">
        <v>119</v>
      </c>
      <c r="B348" s="15" t="s">
        <v>1216</v>
      </c>
      <c r="C348" s="12" t="s">
        <v>1552</v>
      </c>
      <c r="D348" s="12" t="s">
        <v>1216</v>
      </c>
      <c r="E348" s="12" t="s">
        <v>1552</v>
      </c>
      <c r="F348" s="12" t="s">
        <v>1216</v>
      </c>
      <c r="G348" s="12"/>
      <c r="H348" s="12"/>
      <c r="I348" s="15"/>
      <c r="J348" s="13">
        <v>3744</v>
      </c>
      <c r="K348" s="12" t="s">
        <v>1217</v>
      </c>
      <c r="L348" s="5"/>
      <c r="M348" s="5"/>
    </row>
    <row r="349" spans="1:13">
      <c r="A349" s="13"/>
      <c r="B349" s="13">
        <v>29262</v>
      </c>
      <c r="C349" s="13">
        <v>17609</v>
      </c>
      <c r="D349" s="13">
        <v>2725</v>
      </c>
      <c r="E349" s="13">
        <v>2122</v>
      </c>
      <c r="F349" s="13">
        <v>1144</v>
      </c>
      <c r="G349" s="13"/>
      <c r="H349" s="13"/>
      <c r="I349" s="13"/>
      <c r="J349" s="13"/>
      <c r="K349" s="13"/>
      <c r="L349" s="5"/>
      <c r="M349" s="5"/>
    </row>
    <row r="350" spans="1:13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5"/>
      <c r="M350" s="5"/>
    </row>
    <row r="351" spans="1:13">
      <c r="A351" s="33" t="s">
        <v>127</v>
      </c>
      <c r="B351" s="29" t="s">
        <v>1553</v>
      </c>
      <c r="C351" s="32" t="s">
        <v>878</v>
      </c>
      <c r="D351" s="32" t="s">
        <v>878</v>
      </c>
      <c r="E351" s="32" t="s">
        <v>878</v>
      </c>
      <c r="F351" s="32" t="s">
        <v>1553</v>
      </c>
      <c r="G351" s="32"/>
      <c r="H351" s="32"/>
      <c r="I351" s="29"/>
      <c r="J351" s="30">
        <v>3269</v>
      </c>
      <c r="K351" s="32" t="s">
        <v>880</v>
      </c>
      <c r="L351" s="5"/>
      <c r="M351" s="5"/>
    </row>
    <row r="352" spans="1:13">
      <c r="A352" s="30"/>
      <c r="B352" s="30">
        <v>17442</v>
      </c>
      <c r="C352" s="30">
        <v>26819</v>
      </c>
      <c r="D352" s="30">
        <v>3598</v>
      </c>
      <c r="E352" s="30">
        <v>2536</v>
      </c>
      <c r="F352" s="30">
        <v>1229</v>
      </c>
      <c r="G352" s="30"/>
      <c r="H352" s="30"/>
      <c r="I352" s="30"/>
      <c r="J352" s="30"/>
      <c r="K352" s="30"/>
      <c r="L352" s="5"/>
      <c r="M352" s="5"/>
    </row>
    <row r="353" spans="1:13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5"/>
      <c r="M353" s="5"/>
    </row>
    <row r="354" spans="1:13">
      <c r="A354" s="14" t="s">
        <v>131</v>
      </c>
      <c r="B354" s="15" t="s">
        <v>1219</v>
      </c>
      <c r="C354" s="12"/>
      <c r="D354" s="12"/>
      <c r="E354" s="12"/>
      <c r="F354" s="12"/>
      <c r="G354" s="12"/>
      <c r="H354" s="12"/>
      <c r="I354" s="12"/>
      <c r="J354" s="13">
        <v>16932</v>
      </c>
      <c r="K354" s="12" t="s">
        <v>132</v>
      </c>
      <c r="L354" s="5"/>
      <c r="M354" s="5"/>
    </row>
    <row r="355" spans="1:13">
      <c r="A355" s="13"/>
      <c r="B355" s="13">
        <v>23872</v>
      </c>
      <c r="C355" s="13"/>
      <c r="D355" s="13"/>
      <c r="E355" s="13"/>
      <c r="F355" s="13"/>
      <c r="G355" s="13"/>
      <c r="H355" s="13"/>
      <c r="I355" s="13"/>
      <c r="J355" s="13"/>
      <c r="K355" s="13"/>
      <c r="L355" s="5"/>
      <c r="M355" s="5"/>
    </row>
    <row r="356" spans="1:13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5"/>
      <c r="M356" s="5"/>
    </row>
    <row r="357" spans="1:13">
      <c r="A357" s="33" t="s">
        <v>137</v>
      </c>
      <c r="B357" s="29" t="s">
        <v>1033</v>
      </c>
      <c r="C357" s="32" t="s">
        <v>1395</v>
      </c>
      <c r="D357" s="32" t="s">
        <v>1395</v>
      </c>
      <c r="E357" s="32" t="s">
        <v>1395</v>
      </c>
      <c r="F357" s="32" t="s">
        <v>1033</v>
      </c>
      <c r="G357" s="32"/>
      <c r="H357" s="32"/>
      <c r="I357" s="32"/>
      <c r="J357" s="30">
        <v>5928</v>
      </c>
      <c r="K357" s="32" t="s">
        <v>1554</v>
      </c>
      <c r="L357" s="5"/>
      <c r="M357" s="5"/>
    </row>
    <row r="358" spans="1:13">
      <c r="A358" s="30"/>
      <c r="B358" s="30">
        <v>13813</v>
      </c>
      <c r="C358" s="30">
        <v>22033</v>
      </c>
      <c r="D358" s="30">
        <v>2394</v>
      </c>
      <c r="E358" s="30">
        <v>2192</v>
      </c>
      <c r="F358" s="30">
        <v>1061</v>
      </c>
      <c r="G358" s="30"/>
      <c r="H358" s="30"/>
      <c r="I358" s="30"/>
      <c r="J358" s="30"/>
      <c r="K358" s="30"/>
      <c r="L358" s="5"/>
      <c r="M358" s="5"/>
    </row>
    <row r="359" spans="1:13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5"/>
      <c r="M359" s="5"/>
    </row>
    <row r="360" spans="1:13">
      <c r="A360" s="14" t="s">
        <v>146</v>
      </c>
      <c r="B360" s="15"/>
      <c r="C360" s="12" t="s">
        <v>1222</v>
      </c>
      <c r="D360" s="12" t="s">
        <v>1222</v>
      </c>
      <c r="E360" s="12" t="s">
        <v>1222</v>
      </c>
      <c r="F360" s="12"/>
      <c r="G360" s="12"/>
      <c r="H360" s="12"/>
      <c r="I360" s="15"/>
      <c r="J360" s="13">
        <v>15587</v>
      </c>
      <c r="K360" s="12" t="s">
        <v>1223</v>
      </c>
      <c r="L360" s="5"/>
      <c r="M360" s="5"/>
    </row>
    <row r="361" spans="1:13">
      <c r="A361" s="13"/>
      <c r="B361" s="13"/>
      <c r="C361" s="13">
        <v>27205</v>
      </c>
      <c r="D361" s="13">
        <v>4524</v>
      </c>
      <c r="E361" s="13">
        <v>2058</v>
      </c>
      <c r="F361" s="13"/>
      <c r="G361" s="13"/>
      <c r="H361" s="13"/>
      <c r="I361" s="13"/>
      <c r="J361" s="13"/>
      <c r="K361" s="13"/>
      <c r="L361" s="5"/>
      <c r="M361" s="5"/>
    </row>
    <row r="362" spans="1:13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5"/>
      <c r="M362" s="5"/>
    </row>
    <row r="363" spans="1:13">
      <c r="A363" s="33" t="s">
        <v>151</v>
      </c>
      <c r="B363" s="29" t="s">
        <v>1555</v>
      </c>
      <c r="C363" s="32" t="s">
        <v>882</v>
      </c>
      <c r="D363" s="32" t="s">
        <v>882</v>
      </c>
      <c r="E363" s="32" t="s">
        <v>882</v>
      </c>
      <c r="F363" s="32" t="s">
        <v>1555</v>
      </c>
      <c r="G363" s="32"/>
      <c r="H363" s="32"/>
      <c r="I363" s="29" t="s">
        <v>1556</v>
      </c>
      <c r="J363" s="30">
        <v>2056</v>
      </c>
      <c r="K363" s="32" t="s">
        <v>884</v>
      </c>
      <c r="L363" s="5"/>
      <c r="M363" s="5"/>
    </row>
    <row r="364" spans="1:13">
      <c r="A364" s="30"/>
      <c r="B364" s="30">
        <v>14664</v>
      </c>
      <c r="C364" s="30">
        <v>16813</v>
      </c>
      <c r="D364" s="30">
        <v>2288</v>
      </c>
      <c r="E364" s="30">
        <v>992</v>
      </c>
      <c r="F364" s="30">
        <v>831</v>
      </c>
      <c r="G364" s="30"/>
      <c r="H364" s="30"/>
      <c r="I364" s="30">
        <v>454</v>
      </c>
      <c r="J364" s="30"/>
      <c r="K364" s="30"/>
      <c r="L364" s="5"/>
      <c r="M364" s="5"/>
    </row>
    <row r="365" spans="1:13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5"/>
      <c r="M365" s="5"/>
    </row>
    <row r="366" spans="1:13">
      <c r="A366" s="14" t="s">
        <v>157</v>
      </c>
      <c r="B366" s="15" t="s">
        <v>1214</v>
      </c>
      <c r="C366" s="12" t="s">
        <v>1392</v>
      </c>
      <c r="D366" s="12" t="s">
        <v>1392</v>
      </c>
      <c r="E366" s="12" t="s">
        <v>1392</v>
      </c>
      <c r="F366" s="12" t="s">
        <v>1392</v>
      </c>
      <c r="G366" s="12"/>
      <c r="H366" s="12"/>
      <c r="I366" s="12"/>
      <c r="J366" s="13">
        <v>4449</v>
      </c>
      <c r="K366" s="12" t="s">
        <v>1394</v>
      </c>
      <c r="L366" s="5"/>
      <c r="M366" s="5"/>
    </row>
    <row r="367" spans="1:13">
      <c r="A367" s="13"/>
      <c r="B367" s="13">
        <v>12986</v>
      </c>
      <c r="C367" s="13">
        <v>22170</v>
      </c>
      <c r="D367" s="13">
        <v>2122</v>
      </c>
      <c r="E367" s="13">
        <v>1960</v>
      </c>
      <c r="F367" s="13">
        <v>981</v>
      </c>
      <c r="G367" s="13"/>
      <c r="H367" s="13"/>
      <c r="I367" s="13"/>
      <c r="J367" s="13"/>
      <c r="K367" s="13"/>
      <c r="L367" s="5"/>
      <c r="M367" s="5"/>
    </row>
    <row r="368" spans="1:13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5"/>
      <c r="M368" s="5"/>
    </row>
    <row r="369" spans="1:13">
      <c r="A369" s="33" t="s">
        <v>165</v>
      </c>
      <c r="B369" s="29" t="s">
        <v>1225</v>
      </c>
      <c r="C369" s="32"/>
      <c r="D369" s="32"/>
      <c r="E369" s="32"/>
      <c r="F369" s="32" t="s">
        <v>1226</v>
      </c>
      <c r="G369" s="32"/>
      <c r="H369" s="32"/>
      <c r="I369" s="29"/>
      <c r="J369" s="30">
        <v>15209</v>
      </c>
      <c r="K369" s="32" t="s">
        <v>1557</v>
      </c>
      <c r="L369" s="5"/>
      <c r="M369" s="5"/>
    </row>
    <row r="370" spans="1:13">
      <c r="A370" s="30"/>
      <c r="B370" s="30">
        <v>19325</v>
      </c>
      <c r="C370" s="30"/>
      <c r="D370" s="30"/>
      <c r="E370" s="30"/>
      <c r="F370" s="30">
        <v>1994</v>
      </c>
      <c r="G370" s="30"/>
      <c r="H370" s="30"/>
      <c r="I370" s="30"/>
      <c r="J370" s="30"/>
      <c r="K370" s="30"/>
      <c r="L370" s="5"/>
      <c r="M370" s="5"/>
    </row>
    <row r="371" spans="1:13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5"/>
      <c r="M371" s="5"/>
    </row>
    <row r="372" spans="1:13">
      <c r="A372" s="14" t="s">
        <v>169</v>
      </c>
      <c r="B372" s="15"/>
      <c r="C372" s="12" t="s">
        <v>233</v>
      </c>
      <c r="D372" s="15" t="s">
        <v>233</v>
      </c>
      <c r="E372" s="15" t="s">
        <v>233</v>
      </c>
      <c r="F372" s="15"/>
      <c r="G372" s="15"/>
      <c r="H372" s="15"/>
      <c r="I372" s="12"/>
      <c r="J372" s="13">
        <v>13382</v>
      </c>
      <c r="K372" s="12" t="s">
        <v>441</v>
      </c>
      <c r="L372" s="5"/>
      <c r="M372" s="5"/>
    </row>
    <row r="373" spans="1:13">
      <c r="A373" s="13"/>
      <c r="B373" s="13"/>
      <c r="C373" s="13">
        <v>20790</v>
      </c>
      <c r="D373" s="13">
        <v>3418</v>
      </c>
      <c r="E373" s="13">
        <v>1772</v>
      </c>
      <c r="F373" s="13"/>
      <c r="G373" s="13"/>
      <c r="H373" s="13"/>
      <c r="I373" s="13"/>
      <c r="J373" s="13"/>
      <c r="K373" s="13"/>
      <c r="L373" s="5"/>
      <c r="M373" s="5"/>
    </row>
    <row r="374" spans="1:13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5"/>
      <c r="M374" s="5"/>
    </row>
    <row r="375" spans="1:13">
      <c r="A375" s="33" t="s">
        <v>175</v>
      </c>
      <c r="B375" s="29" t="s">
        <v>1558</v>
      </c>
      <c r="C375" s="32"/>
      <c r="D375" s="32" t="s">
        <v>1558</v>
      </c>
      <c r="E375" s="32"/>
      <c r="F375" s="32" t="s">
        <v>1558</v>
      </c>
      <c r="G375" s="32"/>
      <c r="H375" s="32"/>
      <c r="I375" s="29"/>
      <c r="J375" s="30">
        <v>11643</v>
      </c>
      <c r="K375" s="32" t="s">
        <v>1559</v>
      </c>
      <c r="L375" s="5"/>
      <c r="M375" s="5"/>
    </row>
    <row r="376" spans="1:13">
      <c r="A376" s="30"/>
      <c r="B376" s="30">
        <v>18479</v>
      </c>
      <c r="C376" s="30"/>
      <c r="D376" s="30">
        <v>2559</v>
      </c>
      <c r="E376" s="30"/>
      <c r="F376" s="30">
        <v>1076</v>
      </c>
      <c r="G376" s="30"/>
      <c r="H376" s="30"/>
      <c r="I376" s="30"/>
      <c r="J376" s="30"/>
      <c r="K376" s="30"/>
      <c r="L376" s="5"/>
      <c r="M376" s="5"/>
    </row>
    <row r="377" spans="1:13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5"/>
      <c r="M377" s="5"/>
    </row>
    <row r="378" spans="1:13">
      <c r="A378" s="14" t="s">
        <v>178</v>
      </c>
      <c r="B378" s="15" t="s">
        <v>1397</v>
      </c>
      <c r="C378" s="12" t="s">
        <v>1560</v>
      </c>
      <c r="D378" s="12" t="s">
        <v>1560</v>
      </c>
      <c r="E378" s="12" t="s">
        <v>1560</v>
      </c>
      <c r="F378" s="12" t="s">
        <v>1399</v>
      </c>
      <c r="G378" s="12"/>
      <c r="H378" s="12"/>
      <c r="I378" s="12"/>
      <c r="J378" s="13">
        <v>3450</v>
      </c>
      <c r="K378" s="12" t="s">
        <v>1400</v>
      </c>
      <c r="L378" s="5"/>
      <c r="M378" s="5"/>
    </row>
    <row r="379" spans="1:13">
      <c r="A379" s="13"/>
      <c r="B379" s="13">
        <v>26233</v>
      </c>
      <c r="C379" s="13">
        <v>7891</v>
      </c>
      <c r="D379" s="13">
        <v>851</v>
      </c>
      <c r="E379" s="13">
        <v>1411</v>
      </c>
      <c r="F379" s="13">
        <v>1862</v>
      </c>
      <c r="G379" s="13"/>
      <c r="H379" s="13"/>
      <c r="I379" s="13"/>
      <c r="J379" s="13"/>
      <c r="K379" s="13"/>
      <c r="L379" s="5"/>
      <c r="M379" s="5"/>
    </row>
    <row r="380" spans="1:13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5"/>
      <c r="M380" s="5"/>
    </row>
    <row r="381" spans="1:13">
      <c r="A381" s="30" t="s">
        <v>180</v>
      </c>
      <c r="B381" s="29" t="s">
        <v>191</v>
      </c>
      <c r="C381" s="29"/>
      <c r="D381" s="29"/>
      <c r="E381" s="29"/>
      <c r="F381" s="29" t="s">
        <v>191</v>
      </c>
      <c r="G381" s="29"/>
      <c r="H381" s="29"/>
      <c r="I381" s="29"/>
      <c r="J381" s="30">
        <v>12892</v>
      </c>
      <c r="K381" s="32" t="s">
        <v>192</v>
      </c>
      <c r="L381" s="5"/>
      <c r="M381" s="5"/>
    </row>
    <row r="382" spans="1:13">
      <c r="A382" s="33"/>
      <c r="B382" s="30">
        <v>21145</v>
      </c>
      <c r="C382" s="30"/>
      <c r="D382" s="30"/>
      <c r="E382" s="30"/>
      <c r="F382" s="30">
        <v>1808</v>
      </c>
      <c r="G382" s="30"/>
      <c r="H382" s="30"/>
      <c r="I382" s="30"/>
      <c r="J382" s="30"/>
      <c r="K382" s="30"/>
      <c r="L382" s="5"/>
      <c r="M382" s="5"/>
    </row>
    <row r="383" spans="1:13">
      <c r="A383" s="14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5"/>
      <c r="M383" s="5"/>
    </row>
    <row r="384" spans="1:13">
      <c r="A384" s="13" t="s">
        <v>182</v>
      </c>
      <c r="B384" s="15" t="s">
        <v>269</v>
      </c>
      <c r="C384" s="12" t="s">
        <v>1561</v>
      </c>
      <c r="D384" s="12" t="s">
        <v>1561</v>
      </c>
      <c r="E384" s="12" t="s">
        <v>1561</v>
      </c>
      <c r="F384" s="15" t="s">
        <v>269</v>
      </c>
      <c r="G384" s="15"/>
      <c r="H384" s="12"/>
      <c r="I384" s="15"/>
      <c r="J384" s="13">
        <v>3428</v>
      </c>
      <c r="K384" s="12" t="s">
        <v>383</v>
      </c>
      <c r="L384" s="5"/>
      <c r="M384" s="5"/>
    </row>
    <row r="385" spans="1:13">
      <c r="A385" s="13"/>
      <c r="B385" s="13">
        <v>22461</v>
      </c>
      <c r="C385" s="13">
        <v>18530</v>
      </c>
      <c r="D385" s="13">
        <v>1550</v>
      </c>
      <c r="E385" s="13">
        <v>2482</v>
      </c>
      <c r="F385" s="13">
        <v>1453</v>
      </c>
      <c r="G385" s="13"/>
      <c r="H385" s="13"/>
      <c r="I385" s="13"/>
      <c r="J385" s="13"/>
      <c r="K385" s="13"/>
      <c r="L385" s="5"/>
      <c r="M385" s="5"/>
    </row>
    <row r="386" spans="1:13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5"/>
      <c r="M386" s="5"/>
    </row>
    <row r="387" spans="1:13">
      <c r="A387" s="33" t="s">
        <v>183</v>
      </c>
      <c r="B387" s="29" t="s">
        <v>407</v>
      </c>
      <c r="C387" s="32" t="s">
        <v>1403</v>
      </c>
      <c r="D387" s="32"/>
      <c r="E387" s="32"/>
      <c r="F387" s="32"/>
      <c r="G387" s="32"/>
      <c r="H387" s="32"/>
      <c r="I387" s="29" t="s">
        <v>1562</v>
      </c>
      <c r="J387" s="30">
        <v>3553</v>
      </c>
      <c r="K387" s="32" t="s">
        <v>1404</v>
      </c>
      <c r="L387" s="5"/>
      <c r="M387" s="5"/>
    </row>
    <row r="388" spans="1:13">
      <c r="A388" s="30"/>
      <c r="B388" s="30">
        <v>9742</v>
      </c>
      <c r="C388" s="30">
        <v>17517</v>
      </c>
      <c r="D388" s="30"/>
      <c r="E388" s="30"/>
      <c r="F388" s="30"/>
      <c r="G388" s="30"/>
      <c r="H388" s="30"/>
      <c r="I388" s="30">
        <v>834</v>
      </c>
      <c r="J388" s="30"/>
      <c r="K388" s="30"/>
      <c r="L388" s="5"/>
      <c r="M388" s="5"/>
    </row>
    <row r="389" spans="1:13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5"/>
      <c r="M389" s="5"/>
    </row>
    <row r="390" spans="1:13">
      <c r="A390" s="13" t="s">
        <v>184</v>
      </c>
      <c r="B390" s="15" t="s">
        <v>1405</v>
      </c>
      <c r="C390" s="15" t="s">
        <v>209</v>
      </c>
      <c r="D390" s="13"/>
      <c r="E390" s="15" t="s">
        <v>209</v>
      </c>
      <c r="F390" s="15" t="s">
        <v>1405</v>
      </c>
      <c r="G390" s="15"/>
      <c r="H390" s="15"/>
      <c r="I390" s="15"/>
      <c r="J390" s="13">
        <v>5266</v>
      </c>
      <c r="K390" s="12" t="s">
        <v>210</v>
      </c>
      <c r="L390" s="5"/>
      <c r="M390" s="5"/>
    </row>
    <row r="391" spans="1:13">
      <c r="A391" s="13"/>
      <c r="B391" s="13">
        <v>13673</v>
      </c>
      <c r="C391" s="13">
        <v>19816</v>
      </c>
      <c r="D391" s="13"/>
      <c r="E391" s="13">
        <v>1867</v>
      </c>
      <c r="F391" s="13">
        <v>1136</v>
      </c>
      <c r="G391" s="13"/>
      <c r="H391" s="13"/>
      <c r="I391" s="13"/>
      <c r="J391" s="13"/>
      <c r="K391" s="13"/>
      <c r="L391" s="5"/>
      <c r="M391" s="5"/>
    </row>
    <row r="392" spans="1:13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5"/>
      <c r="M392" s="5"/>
    </row>
    <row r="393" spans="1:13">
      <c r="A393" s="30" t="s">
        <v>185</v>
      </c>
      <c r="B393" s="29" t="s">
        <v>1563</v>
      </c>
      <c r="C393" s="29" t="s">
        <v>234</v>
      </c>
      <c r="D393" s="29" t="s">
        <v>234</v>
      </c>
      <c r="E393" s="29" t="s">
        <v>234</v>
      </c>
      <c r="F393" s="29" t="s">
        <v>1563</v>
      </c>
      <c r="G393" s="29"/>
      <c r="H393" s="29"/>
      <c r="I393" s="29"/>
      <c r="J393" s="30">
        <v>3310</v>
      </c>
      <c r="K393" s="32" t="s">
        <v>249</v>
      </c>
      <c r="L393" s="5"/>
      <c r="M393" s="5"/>
    </row>
    <row r="394" spans="1:13">
      <c r="A394" s="30"/>
      <c r="B394" s="30">
        <v>17142</v>
      </c>
      <c r="C394" s="30">
        <v>18741</v>
      </c>
      <c r="D394" s="30">
        <v>1863</v>
      </c>
      <c r="E394" s="30">
        <v>2251</v>
      </c>
      <c r="F394" s="30">
        <v>1144</v>
      </c>
      <c r="G394" s="30"/>
      <c r="H394" s="30"/>
      <c r="I394" s="30"/>
      <c r="J394" s="30"/>
      <c r="K394" s="30"/>
      <c r="L394" s="5"/>
      <c r="M394" s="5"/>
    </row>
    <row r="395" spans="1:13">
      <c r="A395" s="5"/>
      <c r="B395" s="13"/>
      <c r="C395" s="13"/>
      <c r="D395" s="13"/>
      <c r="E395" s="13"/>
      <c r="F395" s="13"/>
      <c r="G395" s="13"/>
      <c r="H395" s="13"/>
      <c r="I395" s="13"/>
      <c r="J395" s="13"/>
      <c r="K395" s="5"/>
      <c r="L395" s="5"/>
      <c r="M395" s="5"/>
    </row>
    <row r="396" spans="1:13">
      <c r="A396" s="14" t="s">
        <v>7</v>
      </c>
      <c r="B396" s="15" t="s">
        <v>235</v>
      </c>
      <c r="C396" s="15" t="s">
        <v>1564</v>
      </c>
      <c r="D396" s="15"/>
      <c r="E396" s="15"/>
      <c r="F396" s="15" t="s">
        <v>235</v>
      </c>
      <c r="G396" s="15"/>
      <c r="H396" s="15"/>
      <c r="I396" s="15" t="s">
        <v>1565</v>
      </c>
      <c r="J396" s="13">
        <v>3308</v>
      </c>
      <c r="K396" s="12" t="s">
        <v>236</v>
      </c>
      <c r="L396" s="5"/>
      <c r="M396" s="5"/>
    </row>
    <row r="397" spans="1:13">
      <c r="A397" s="13"/>
      <c r="B397" s="13">
        <v>21391</v>
      </c>
      <c r="C397" s="13">
        <v>10938</v>
      </c>
      <c r="D397" s="13"/>
      <c r="E397" s="13"/>
      <c r="F397" s="13">
        <v>2675</v>
      </c>
      <c r="G397" s="13"/>
      <c r="H397" s="13"/>
      <c r="I397" s="13">
        <v>716</v>
      </c>
      <c r="J397" s="13"/>
      <c r="K397" s="13"/>
      <c r="L397" s="5"/>
      <c r="M397" s="5"/>
    </row>
    <row r="398" spans="1:13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5"/>
      <c r="M398" s="5"/>
    </row>
    <row r="399" spans="1:13">
      <c r="A399" s="33" t="s">
        <v>9</v>
      </c>
      <c r="B399" s="29" t="s">
        <v>237</v>
      </c>
      <c r="C399" s="32" t="s">
        <v>1566</v>
      </c>
      <c r="D399" s="32" t="s">
        <v>1566</v>
      </c>
      <c r="E399" s="32" t="s">
        <v>1566</v>
      </c>
      <c r="F399" s="32" t="s">
        <v>237</v>
      </c>
      <c r="G399" s="32"/>
      <c r="H399" s="32"/>
      <c r="I399" s="29"/>
      <c r="J399" s="30">
        <v>1804</v>
      </c>
      <c r="K399" s="32" t="s">
        <v>250</v>
      </c>
      <c r="L399" s="5"/>
      <c r="M399" s="5"/>
    </row>
    <row r="400" spans="1:13">
      <c r="A400" s="30"/>
      <c r="B400" s="30">
        <v>24145</v>
      </c>
      <c r="C400" s="30">
        <v>11741</v>
      </c>
      <c r="D400" s="30">
        <v>888</v>
      </c>
      <c r="E400" s="30">
        <v>997</v>
      </c>
      <c r="F400" s="30">
        <v>1569</v>
      </c>
      <c r="G400" s="30"/>
      <c r="H400" s="30"/>
      <c r="I400" s="30"/>
      <c r="J400" s="30"/>
      <c r="K400" s="30"/>
      <c r="L400" s="5"/>
      <c r="M400" s="5"/>
    </row>
    <row r="401" spans="1:13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5"/>
      <c r="M401" s="5"/>
    </row>
    <row r="402" spans="1:13">
      <c r="A402" s="14" t="s">
        <v>15</v>
      </c>
      <c r="B402" s="15" t="s">
        <v>1567</v>
      </c>
      <c r="C402" s="12" t="s">
        <v>270</v>
      </c>
      <c r="D402" s="12" t="s">
        <v>270</v>
      </c>
      <c r="E402" s="12" t="s">
        <v>270</v>
      </c>
      <c r="F402" s="12" t="s">
        <v>1567</v>
      </c>
      <c r="G402" s="12"/>
      <c r="H402" s="12"/>
      <c r="I402" s="15"/>
      <c r="J402" s="13">
        <v>4929</v>
      </c>
      <c r="K402" s="12" t="s">
        <v>271</v>
      </c>
      <c r="L402" s="5"/>
      <c r="M402" s="5"/>
    </row>
    <row r="403" spans="1:13">
      <c r="A403" s="13"/>
      <c r="B403" s="13">
        <v>16820</v>
      </c>
      <c r="C403" s="13">
        <v>18288</v>
      </c>
      <c r="D403" s="13">
        <v>1676</v>
      </c>
      <c r="E403" s="13">
        <v>2251</v>
      </c>
      <c r="F403" s="13">
        <v>1374</v>
      </c>
      <c r="G403" s="13"/>
      <c r="H403" s="13"/>
      <c r="I403" s="13"/>
      <c r="J403" s="13"/>
      <c r="K403" s="13"/>
      <c r="L403" s="5"/>
      <c r="M403" s="5"/>
    </row>
    <row r="404" spans="1:13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5"/>
      <c r="M404" s="5"/>
    </row>
    <row r="405" spans="1:13">
      <c r="A405" s="33" t="s">
        <v>17</v>
      </c>
      <c r="B405" s="29"/>
      <c r="C405" s="32" t="s">
        <v>1237</v>
      </c>
      <c r="D405" s="30"/>
      <c r="E405" s="32" t="s">
        <v>251</v>
      </c>
      <c r="F405" s="32"/>
      <c r="G405" s="32"/>
      <c r="H405" s="32"/>
      <c r="I405" s="29"/>
      <c r="J405" s="30">
        <v>12746</v>
      </c>
      <c r="K405" s="32" t="s">
        <v>18</v>
      </c>
      <c r="L405" s="5"/>
      <c r="M405" s="5"/>
    </row>
    <row r="406" spans="1:13">
      <c r="A406" s="30"/>
      <c r="B406" s="30"/>
      <c r="C406" s="30">
        <v>20189</v>
      </c>
      <c r="D406" s="30"/>
      <c r="E406" s="30">
        <v>3907</v>
      </c>
      <c r="F406" s="30"/>
      <c r="G406" s="30"/>
      <c r="H406" s="30"/>
      <c r="I406" s="30"/>
      <c r="J406" s="30"/>
      <c r="K406" s="30"/>
      <c r="L406" s="5"/>
      <c r="M406" s="5"/>
    </row>
    <row r="407" spans="1:13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5"/>
      <c r="M407" s="5"/>
    </row>
    <row r="408" spans="1:13">
      <c r="A408" s="14" t="s">
        <v>25</v>
      </c>
      <c r="B408" s="15"/>
      <c r="C408" s="12" t="s">
        <v>211</v>
      </c>
      <c r="D408" s="12" t="s">
        <v>211</v>
      </c>
      <c r="E408" s="12" t="s">
        <v>211</v>
      </c>
      <c r="F408" s="12"/>
      <c r="G408" s="12"/>
      <c r="H408" s="12"/>
      <c r="I408" s="15"/>
      <c r="J408" s="13">
        <v>17876</v>
      </c>
      <c r="K408" s="12" t="s">
        <v>212</v>
      </c>
      <c r="L408" s="5"/>
      <c r="M408" s="5"/>
    </row>
    <row r="409" spans="1:13">
      <c r="A409" s="13"/>
      <c r="B409" s="13"/>
      <c r="C409" s="13">
        <v>20494</v>
      </c>
      <c r="D409" s="13">
        <v>3095</v>
      </c>
      <c r="E409" s="13">
        <v>2216</v>
      </c>
      <c r="F409" s="13"/>
      <c r="G409" s="13"/>
      <c r="H409" s="13"/>
      <c r="I409" s="13"/>
      <c r="J409" s="13"/>
      <c r="K409" s="13"/>
      <c r="L409" s="5"/>
      <c r="M409" s="5"/>
    </row>
    <row r="410" spans="1:13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5"/>
      <c r="M410" s="5"/>
    </row>
    <row r="411" spans="1:13">
      <c r="A411" s="33" t="s">
        <v>31</v>
      </c>
      <c r="B411" s="29" t="s">
        <v>1455</v>
      </c>
      <c r="C411" s="32" t="s">
        <v>562</v>
      </c>
      <c r="D411" s="32" t="s">
        <v>562</v>
      </c>
      <c r="E411" s="32" t="s">
        <v>562</v>
      </c>
      <c r="F411" s="32" t="s">
        <v>1455</v>
      </c>
      <c r="G411" s="32"/>
      <c r="H411" s="32"/>
      <c r="I411" s="29"/>
      <c r="J411" s="30">
        <v>3727</v>
      </c>
      <c r="K411" s="32" t="s">
        <v>563</v>
      </c>
      <c r="L411" s="5"/>
      <c r="M411" s="5"/>
    </row>
    <row r="412" spans="1:13">
      <c r="A412" s="30"/>
      <c r="B412" s="30">
        <v>17567</v>
      </c>
      <c r="C412" s="30">
        <v>21160</v>
      </c>
      <c r="D412" s="30">
        <v>1662</v>
      </c>
      <c r="E412" s="30">
        <v>2685</v>
      </c>
      <c r="F412" s="30">
        <v>934</v>
      </c>
      <c r="G412" s="30"/>
      <c r="H412" s="30"/>
      <c r="I412" s="30"/>
      <c r="J412" s="30"/>
      <c r="K412" s="30"/>
      <c r="L412" s="5"/>
      <c r="M412" s="5"/>
    </row>
    <row r="413" spans="1:13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5"/>
      <c r="M413" s="5"/>
    </row>
    <row r="414" spans="1:13">
      <c r="A414" s="14" t="s">
        <v>35</v>
      </c>
      <c r="B414" s="15" t="s">
        <v>1408</v>
      </c>
      <c r="C414" s="12" t="s">
        <v>1568</v>
      </c>
      <c r="D414" s="12" t="s">
        <v>1568</v>
      </c>
      <c r="E414" s="12" t="s">
        <v>1568</v>
      </c>
      <c r="F414" s="12" t="s">
        <v>1448</v>
      </c>
      <c r="G414" s="12"/>
      <c r="H414" s="12"/>
      <c r="I414" s="15"/>
      <c r="J414" s="13">
        <v>2282</v>
      </c>
      <c r="K414" s="12" t="s">
        <v>1411</v>
      </c>
      <c r="L414" s="5"/>
      <c r="M414" s="5"/>
    </row>
    <row r="415" spans="1:13">
      <c r="A415" s="13"/>
      <c r="B415" s="13">
        <v>16744</v>
      </c>
      <c r="C415" s="13">
        <v>9721</v>
      </c>
      <c r="D415" s="13">
        <v>1324</v>
      </c>
      <c r="E415" s="13">
        <v>1772</v>
      </c>
      <c r="F415" s="13">
        <v>1256</v>
      </c>
      <c r="G415" s="13"/>
      <c r="H415" s="13"/>
      <c r="I415" s="13"/>
      <c r="J415" s="13"/>
      <c r="K415" s="13"/>
      <c r="L415" s="5"/>
      <c r="M415" s="5"/>
    </row>
    <row r="416" spans="1:13">
      <c r="A416" s="5"/>
      <c r="B416" s="13"/>
      <c r="C416" s="13"/>
      <c r="D416" s="13"/>
      <c r="E416" s="13"/>
      <c r="F416" s="13"/>
      <c r="G416" s="13"/>
      <c r="H416" s="13"/>
      <c r="I416" s="13"/>
      <c r="J416" s="13"/>
      <c r="K416" s="5"/>
      <c r="L416" s="5"/>
      <c r="M416" s="5"/>
    </row>
    <row r="417" spans="1:14">
      <c r="A417" s="30" t="s">
        <v>44</v>
      </c>
      <c r="B417" s="29" t="s">
        <v>194</v>
      </c>
      <c r="C417" s="29" t="s">
        <v>1569</v>
      </c>
      <c r="D417" s="29" t="s">
        <v>1569</v>
      </c>
      <c r="E417" s="29" t="s">
        <v>1569</v>
      </c>
      <c r="F417" s="29"/>
      <c r="G417" s="29"/>
      <c r="H417" s="29"/>
      <c r="I417" s="30"/>
      <c r="J417" s="30">
        <v>3099</v>
      </c>
      <c r="K417" s="29" t="s">
        <v>45</v>
      </c>
      <c r="L417" s="13"/>
      <c r="M417" s="13"/>
      <c r="N417" s="2"/>
    </row>
    <row r="418" spans="1:14">
      <c r="A418" s="30"/>
      <c r="B418" s="30">
        <v>29036</v>
      </c>
      <c r="C418" s="30">
        <v>10278</v>
      </c>
      <c r="D418" s="30">
        <v>1123</v>
      </c>
      <c r="E418" s="30">
        <v>1943</v>
      </c>
      <c r="F418" s="30"/>
      <c r="G418" s="30"/>
      <c r="H418" s="30"/>
      <c r="I418" s="30"/>
      <c r="J418" s="30"/>
      <c r="K418" s="30"/>
      <c r="L418" s="13"/>
      <c r="M418" s="13"/>
      <c r="N418" s="2"/>
    </row>
    <row r="419" spans="1:14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2"/>
    </row>
    <row r="420" spans="1:14">
      <c r="A420" s="13" t="s">
        <v>49</v>
      </c>
      <c r="B420" s="15" t="s">
        <v>195</v>
      </c>
      <c r="C420" s="15" t="s">
        <v>1570</v>
      </c>
      <c r="D420" s="15"/>
      <c r="E420" s="15"/>
      <c r="F420" s="15"/>
      <c r="G420" s="15"/>
      <c r="H420" s="15"/>
      <c r="I420" s="15"/>
      <c r="J420" s="13">
        <v>4249</v>
      </c>
      <c r="K420" s="15" t="s">
        <v>50</v>
      </c>
      <c r="L420" s="13"/>
      <c r="M420" s="13"/>
      <c r="N420" s="2"/>
    </row>
    <row r="421" spans="1:14">
      <c r="A421" s="13"/>
      <c r="B421" s="13">
        <v>14791</v>
      </c>
      <c r="C421" s="13">
        <v>4563</v>
      </c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2"/>
    </row>
    <row r="422" spans="1:14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2"/>
    </row>
    <row r="423" spans="1:14">
      <c r="A423" s="30" t="s">
        <v>57</v>
      </c>
      <c r="B423" s="29" t="s">
        <v>1571</v>
      </c>
      <c r="C423" s="29" t="s">
        <v>1051</v>
      </c>
      <c r="D423" s="29" t="s">
        <v>1051</v>
      </c>
      <c r="E423" s="29" t="s">
        <v>1051</v>
      </c>
      <c r="F423" s="29"/>
      <c r="G423" s="29"/>
      <c r="H423" s="29"/>
      <c r="I423" s="29"/>
      <c r="J423" s="30">
        <v>4747</v>
      </c>
      <c r="K423" s="29" t="s">
        <v>1052</v>
      </c>
      <c r="L423" s="13"/>
      <c r="M423" s="13"/>
      <c r="N423" s="2"/>
    </row>
    <row r="424" spans="1:14">
      <c r="A424" s="30"/>
      <c r="B424" s="30">
        <v>13541</v>
      </c>
      <c r="C424" s="30">
        <v>19655</v>
      </c>
      <c r="D424" s="30">
        <v>1993</v>
      </c>
      <c r="E424" s="30">
        <v>3369</v>
      </c>
      <c r="F424" s="30"/>
      <c r="G424" s="30"/>
      <c r="H424" s="30"/>
      <c r="I424" s="30"/>
      <c r="J424" s="30"/>
      <c r="K424" s="30"/>
      <c r="L424" s="13"/>
      <c r="M424" s="13"/>
      <c r="N424" s="2"/>
    </row>
    <row r="425" spans="1:14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2"/>
    </row>
    <row r="426" spans="1:14">
      <c r="A426" s="13" t="s">
        <v>60</v>
      </c>
      <c r="B426" s="15" t="s">
        <v>1053</v>
      </c>
      <c r="C426" s="15" t="s">
        <v>321</v>
      </c>
      <c r="D426" s="15" t="s">
        <v>1053</v>
      </c>
      <c r="E426" s="15" t="s">
        <v>321</v>
      </c>
      <c r="F426" s="15" t="s">
        <v>1053</v>
      </c>
      <c r="G426" s="15"/>
      <c r="H426" s="15"/>
      <c r="I426" s="15"/>
      <c r="J426" s="13">
        <v>2453</v>
      </c>
      <c r="K426" s="15" t="s">
        <v>1414</v>
      </c>
      <c r="L426" s="13"/>
      <c r="M426" s="13"/>
      <c r="N426" s="2"/>
    </row>
    <row r="427" spans="1:14">
      <c r="A427" s="13"/>
      <c r="B427" s="13">
        <v>27652</v>
      </c>
      <c r="C427" s="13">
        <v>16120</v>
      </c>
      <c r="D427" s="13">
        <v>2418</v>
      </c>
      <c r="E427" s="13">
        <v>3165</v>
      </c>
      <c r="F427" s="13">
        <v>959</v>
      </c>
      <c r="G427" s="13"/>
      <c r="H427" s="13"/>
      <c r="I427" s="13"/>
      <c r="J427" s="13"/>
      <c r="K427" s="13"/>
      <c r="L427" s="13"/>
      <c r="M427" s="13"/>
      <c r="N427" s="2"/>
    </row>
    <row r="428" spans="1:14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2"/>
    </row>
    <row r="429" spans="1:14">
      <c r="A429" s="30" t="s">
        <v>66</v>
      </c>
      <c r="B429" s="29"/>
      <c r="C429" s="29" t="s">
        <v>1415</v>
      </c>
      <c r="D429" s="29" t="s">
        <v>1415</v>
      </c>
      <c r="E429" s="29" t="s">
        <v>1415</v>
      </c>
      <c r="F429" s="29"/>
      <c r="G429" s="29"/>
      <c r="H429" s="29"/>
      <c r="I429" s="30"/>
      <c r="J429" s="30">
        <v>12215</v>
      </c>
      <c r="K429" s="29" t="s">
        <v>1416</v>
      </c>
      <c r="L429" s="13"/>
      <c r="M429" s="13"/>
      <c r="N429" s="2"/>
    </row>
    <row r="430" spans="1:14">
      <c r="A430" s="30"/>
      <c r="B430" s="30"/>
      <c r="C430" s="30">
        <v>21971</v>
      </c>
      <c r="D430" s="30">
        <v>2279</v>
      </c>
      <c r="E430" s="30">
        <v>1309</v>
      </c>
      <c r="F430" s="30"/>
      <c r="G430" s="30"/>
      <c r="H430" s="30"/>
      <c r="I430" s="30"/>
      <c r="J430" s="30"/>
      <c r="K430" s="30"/>
      <c r="L430" s="13"/>
      <c r="M430" s="13"/>
      <c r="N430" s="2"/>
    </row>
    <row r="431" spans="1:14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2"/>
    </row>
    <row r="432" spans="1:14">
      <c r="A432" s="13" t="s">
        <v>74</v>
      </c>
      <c r="B432" s="15"/>
      <c r="C432" s="15" t="s">
        <v>1417</v>
      </c>
      <c r="D432" s="15" t="s">
        <v>1417</v>
      </c>
      <c r="E432" s="15" t="s">
        <v>1417</v>
      </c>
      <c r="F432" s="15"/>
      <c r="G432" s="15"/>
      <c r="H432" s="15"/>
      <c r="I432" s="15"/>
      <c r="J432" s="13">
        <v>15053</v>
      </c>
      <c r="K432" s="15" t="s">
        <v>1572</v>
      </c>
      <c r="L432" s="13"/>
      <c r="M432" s="13"/>
      <c r="N432" s="2"/>
    </row>
    <row r="433" spans="1:14">
      <c r="A433" s="13"/>
      <c r="B433" s="13"/>
      <c r="C433" s="13">
        <v>19767</v>
      </c>
      <c r="D433" s="13">
        <v>2270</v>
      </c>
      <c r="E433" s="13">
        <v>1335</v>
      </c>
      <c r="F433" s="13"/>
      <c r="G433" s="13"/>
      <c r="H433" s="13"/>
      <c r="I433" s="13"/>
      <c r="J433" s="13"/>
      <c r="K433" s="13"/>
      <c r="L433" s="13"/>
      <c r="M433" s="13"/>
      <c r="N433" s="2"/>
    </row>
    <row r="434" spans="1:14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2"/>
    </row>
    <row r="435" spans="1:14">
      <c r="A435" s="30" t="s">
        <v>81</v>
      </c>
      <c r="B435" s="29" t="s">
        <v>1248</v>
      </c>
      <c r="C435" s="29" t="s">
        <v>1573</v>
      </c>
      <c r="D435" s="29" t="s">
        <v>1574</v>
      </c>
      <c r="E435" s="29" t="s">
        <v>1573</v>
      </c>
      <c r="F435" s="29" t="s">
        <v>1248</v>
      </c>
      <c r="G435" s="29"/>
      <c r="H435" s="29"/>
      <c r="I435" s="29"/>
      <c r="J435" s="30">
        <v>1872</v>
      </c>
      <c r="K435" s="29" t="s">
        <v>1420</v>
      </c>
      <c r="L435" s="13"/>
      <c r="M435" s="13"/>
      <c r="N435" s="2"/>
    </row>
    <row r="436" spans="1:14">
      <c r="A436" s="30"/>
      <c r="B436" s="30">
        <v>18337</v>
      </c>
      <c r="C436" s="30">
        <v>10961</v>
      </c>
      <c r="D436" s="30">
        <v>2795</v>
      </c>
      <c r="E436" s="30">
        <v>1874</v>
      </c>
      <c r="F436" s="30">
        <v>1451</v>
      </c>
      <c r="G436" s="30"/>
      <c r="H436" s="30"/>
      <c r="I436" s="30"/>
      <c r="J436" s="30"/>
      <c r="K436" s="30"/>
      <c r="L436" s="13"/>
      <c r="M436" s="13"/>
      <c r="N436" s="2"/>
    </row>
    <row r="437" spans="1:14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2"/>
    </row>
    <row r="438" spans="1:14">
      <c r="A438" s="13" t="s">
        <v>86</v>
      </c>
      <c r="B438" s="15" t="s">
        <v>1575</v>
      </c>
      <c r="C438" s="15" t="s">
        <v>254</v>
      </c>
      <c r="D438" s="15" t="s">
        <v>254</v>
      </c>
      <c r="E438" s="15" t="s">
        <v>254</v>
      </c>
      <c r="F438" s="15" t="s">
        <v>1575</v>
      </c>
      <c r="G438" s="15"/>
      <c r="H438" s="15"/>
      <c r="I438" s="15"/>
      <c r="J438" s="13">
        <v>3053</v>
      </c>
      <c r="K438" s="15" t="s">
        <v>255</v>
      </c>
      <c r="L438" s="13"/>
      <c r="M438" s="13"/>
      <c r="N438" s="2"/>
    </row>
    <row r="439" spans="1:14">
      <c r="A439" s="13"/>
      <c r="B439" s="13">
        <v>11183</v>
      </c>
      <c r="C439" s="13">
        <v>19244</v>
      </c>
      <c r="D439" s="13">
        <v>1531</v>
      </c>
      <c r="E439" s="13">
        <v>2728</v>
      </c>
      <c r="F439" s="13">
        <v>913</v>
      </c>
      <c r="G439" s="13"/>
      <c r="H439" s="13"/>
      <c r="I439" s="13"/>
      <c r="J439" s="13"/>
      <c r="K439" s="13"/>
      <c r="L439" s="13"/>
      <c r="M439" s="13"/>
      <c r="N439" s="2"/>
    </row>
    <row r="440" spans="1:14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2"/>
    </row>
    <row r="441" spans="1:14">
      <c r="A441" s="30" t="s">
        <v>1576</v>
      </c>
      <c r="B441" s="29" t="s">
        <v>193</v>
      </c>
      <c r="C441" s="29" t="s">
        <v>1577</v>
      </c>
      <c r="D441" s="29" t="s">
        <v>193</v>
      </c>
      <c r="E441" s="29" t="s">
        <v>193</v>
      </c>
      <c r="F441" s="29"/>
      <c r="G441" s="29"/>
      <c r="H441" s="29"/>
      <c r="I441" s="29"/>
      <c r="J441" s="30">
        <v>3437</v>
      </c>
      <c r="K441" s="29" t="s">
        <v>196</v>
      </c>
      <c r="L441" s="13"/>
      <c r="M441" s="13"/>
      <c r="N441" s="2"/>
    </row>
    <row r="442" spans="1:14">
      <c r="A442" s="30"/>
      <c r="B442" s="30">
        <v>23435</v>
      </c>
      <c r="C442" s="30">
        <v>10175</v>
      </c>
      <c r="D442" s="30">
        <v>2162</v>
      </c>
      <c r="E442" s="30">
        <v>2373</v>
      </c>
      <c r="F442" s="30"/>
      <c r="G442" s="30"/>
      <c r="H442" s="30"/>
      <c r="I442" s="30"/>
      <c r="J442" s="30"/>
      <c r="K442" s="30"/>
      <c r="L442" s="13"/>
      <c r="M442" s="13"/>
      <c r="N442" s="2"/>
    </row>
    <row r="443" spans="1:14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2"/>
    </row>
    <row r="444" spans="1:14">
      <c r="A444" s="13" t="s">
        <v>100</v>
      </c>
      <c r="B444" s="15" t="s">
        <v>1055</v>
      </c>
      <c r="C444" s="15"/>
      <c r="D444" s="15"/>
      <c r="E444" s="15"/>
      <c r="F444" s="15"/>
      <c r="G444" s="15"/>
      <c r="H444" s="15"/>
      <c r="I444" s="15"/>
      <c r="J444" s="13">
        <v>5953</v>
      </c>
      <c r="K444" s="15" t="s">
        <v>1057</v>
      </c>
      <c r="L444" s="13"/>
      <c r="M444" s="13"/>
      <c r="N444" s="2"/>
    </row>
    <row r="445" spans="1:14">
      <c r="A445" s="13"/>
      <c r="B445" s="13">
        <v>19340</v>
      </c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2"/>
    </row>
    <row r="446" spans="1:14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2"/>
    </row>
    <row r="447" spans="1:14">
      <c r="A447" s="30" t="s">
        <v>105</v>
      </c>
      <c r="B447" s="29" t="s">
        <v>1578</v>
      </c>
      <c r="C447" s="29" t="s">
        <v>1579</v>
      </c>
      <c r="D447" s="29" t="s">
        <v>1579</v>
      </c>
      <c r="E447" s="29" t="s">
        <v>1579</v>
      </c>
      <c r="F447" s="29" t="s">
        <v>1578</v>
      </c>
      <c r="G447" s="29"/>
      <c r="H447" s="29"/>
      <c r="I447" s="29"/>
      <c r="J447" s="30">
        <v>2655</v>
      </c>
      <c r="K447" s="29" t="s">
        <v>1580</v>
      </c>
      <c r="L447" s="13"/>
      <c r="M447" s="13"/>
      <c r="N447" s="2"/>
    </row>
    <row r="448" spans="1:14">
      <c r="A448" s="30"/>
      <c r="B448" s="30">
        <v>17742</v>
      </c>
      <c r="C448" s="30">
        <v>19624</v>
      </c>
      <c r="D448" s="30">
        <v>1916</v>
      </c>
      <c r="E448" s="30">
        <v>3495</v>
      </c>
      <c r="F448" s="30">
        <v>2175</v>
      </c>
      <c r="G448" s="30"/>
      <c r="H448" s="30"/>
      <c r="I448" s="30"/>
      <c r="J448" s="30"/>
      <c r="K448" s="30"/>
      <c r="L448" s="13"/>
      <c r="M448" s="13"/>
      <c r="N448" s="2"/>
    </row>
    <row r="449" spans="1:14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2"/>
    </row>
    <row r="450" spans="1:14">
      <c r="A450" s="13" t="s">
        <v>115</v>
      </c>
      <c r="B450" s="15" t="s">
        <v>1058</v>
      </c>
      <c r="C450" s="15" t="s">
        <v>1581</v>
      </c>
      <c r="D450" s="15" t="s">
        <v>1058</v>
      </c>
      <c r="E450" s="15" t="s">
        <v>1058</v>
      </c>
      <c r="F450" s="15"/>
      <c r="G450" s="15"/>
      <c r="H450" s="15"/>
      <c r="I450" s="15"/>
      <c r="J450" s="13">
        <v>4277</v>
      </c>
      <c r="K450" s="15" t="s">
        <v>1060</v>
      </c>
      <c r="L450" s="13"/>
      <c r="M450" s="13"/>
      <c r="N450" s="2"/>
    </row>
    <row r="451" spans="1:14">
      <c r="A451" s="13"/>
      <c r="B451" s="13">
        <v>22273</v>
      </c>
      <c r="C451" s="13">
        <v>11261</v>
      </c>
      <c r="D451" s="13">
        <v>2242</v>
      </c>
      <c r="E451" s="13">
        <v>2013</v>
      </c>
      <c r="F451" s="13"/>
      <c r="G451" s="13"/>
      <c r="H451" s="13"/>
      <c r="I451" s="13"/>
      <c r="J451" s="13"/>
      <c r="K451" s="13"/>
      <c r="L451" s="13"/>
      <c r="M451" s="13"/>
      <c r="N451" s="2"/>
    </row>
    <row r="452" spans="1:14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2"/>
    </row>
    <row r="453" spans="1:14">
      <c r="A453" s="30" t="s">
        <v>123</v>
      </c>
      <c r="B453" s="29" t="s">
        <v>1253</v>
      </c>
      <c r="C453" s="29" t="s">
        <v>1525</v>
      </c>
      <c r="D453" s="29" t="s">
        <v>1253</v>
      </c>
      <c r="E453" s="29" t="s">
        <v>1525</v>
      </c>
      <c r="F453" s="29" t="s">
        <v>1253</v>
      </c>
      <c r="G453" s="29"/>
      <c r="H453" s="29"/>
      <c r="I453" s="29"/>
      <c r="J453" s="30">
        <v>2538</v>
      </c>
      <c r="K453" s="29" t="s">
        <v>1257</v>
      </c>
      <c r="L453" s="13"/>
      <c r="M453" s="13"/>
      <c r="N453" s="2"/>
    </row>
    <row r="454" spans="1:14">
      <c r="A454" s="30"/>
      <c r="B454" s="30">
        <v>17842</v>
      </c>
      <c r="C454" s="30">
        <v>5367</v>
      </c>
      <c r="D454" s="30">
        <v>1940</v>
      </c>
      <c r="E454" s="30">
        <v>1485</v>
      </c>
      <c r="F454" s="30">
        <v>1903</v>
      </c>
      <c r="G454" s="30"/>
      <c r="H454" s="30"/>
      <c r="I454" s="30"/>
      <c r="J454" s="30"/>
      <c r="K454" s="30"/>
      <c r="L454" s="13"/>
      <c r="M454" s="13"/>
      <c r="N454" s="2"/>
    </row>
    <row r="455" spans="1:14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2"/>
    </row>
    <row r="456" spans="1:14">
      <c r="A456" s="13" t="s">
        <v>129</v>
      </c>
      <c r="B456" s="15" t="s">
        <v>1258</v>
      </c>
      <c r="C456" s="15" t="s">
        <v>1582</v>
      </c>
      <c r="D456" s="15" t="s">
        <v>1258</v>
      </c>
      <c r="E456" s="15" t="s">
        <v>1258</v>
      </c>
      <c r="F456" s="15" t="s">
        <v>1258</v>
      </c>
      <c r="G456" s="15"/>
      <c r="H456" s="15"/>
      <c r="I456" s="15"/>
      <c r="J456" s="13">
        <v>4386</v>
      </c>
      <c r="K456" s="15" t="s">
        <v>1424</v>
      </c>
      <c r="L456" s="13"/>
      <c r="M456" s="13"/>
      <c r="N456" s="2"/>
    </row>
    <row r="457" spans="1:14">
      <c r="A457" s="13"/>
      <c r="B457" s="13">
        <v>23455</v>
      </c>
      <c r="C457" s="13">
        <v>8389</v>
      </c>
      <c r="D457" s="13">
        <v>2144</v>
      </c>
      <c r="E457" s="13">
        <v>2230</v>
      </c>
      <c r="F457" s="13">
        <v>1666</v>
      </c>
      <c r="G457" s="13"/>
      <c r="H457" s="13"/>
      <c r="I457" s="13"/>
      <c r="J457" s="13"/>
      <c r="K457" s="13"/>
      <c r="L457" s="13"/>
      <c r="M457" s="13"/>
      <c r="N457" s="2"/>
    </row>
    <row r="458" spans="1:14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2"/>
    </row>
    <row r="459" spans="1:14">
      <c r="A459" s="30" t="s">
        <v>135</v>
      </c>
      <c r="B459" s="29" t="s">
        <v>1583</v>
      </c>
      <c r="C459" s="29" t="s">
        <v>1426</v>
      </c>
      <c r="D459" s="29" t="s">
        <v>1426</v>
      </c>
      <c r="E459" s="29" t="s">
        <v>1426</v>
      </c>
      <c r="F459" s="29" t="s">
        <v>1583</v>
      </c>
      <c r="G459" s="29"/>
      <c r="H459" s="29"/>
      <c r="I459" s="29"/>
      <c r="J459" s="30">
        <v>2735</v>
      </c>
      <c r="K459" s="29" t="s">
        <v>1427</v>
      </c>
      <c r="L459" s="13"/>
      <c r="M459" s="13"/>
      <c r="N459" s="2"/>
    </row>
    <row r="460" spans="1:14">
      <c r="A460" s="30"/>
      <c r="B460" s="30">
        <v>12114</v>
      </c>
      <c r="C460" s="30">
        <v>19852</v>
      </c>
      <c r="D460" s="30">
        <v>3691</v>
      </c>
      <c r="E460" s="30">
        <v>3631</v>
      </c>
      <c r="F460" s="30">
        <v>1355</v>
      </c>
      <c r="G460" s="30"/>
      <c r="H460" s="30"/>
      <c r="I460" s="30"/>
      <c r="J460" s="30"/>
      <c r="K460" s="30"/>
      <c r="L460" s="13"/>
      <c r="M460" s="13"/>
      <c r="N460" s="2"/>
    </row>
    <row r="461" spans="1:14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2"/>
    </row>
    <row r="462" spans="1:14">
      <c r="A462" s="13" t="s">
        <v>143</v>
      </c>
      <c r="B462" s="15" t="s">
        <v>559</v>
      </c>
      <c r="C462" s="15" t="s">
        <v>1265</v>
      </c>
      <c r="D462" s="15" t="s">
        <v>1265</v>
      </c>
      <c r="E462" s="15" t="s">
        <v>1265</v>
      </c>
      <c r="F462" s="15" t="s">
        <v>559</v>
      </c>
      <c r="G462" s="15"/>
      <c r="H462" s="15"/>
      <c r="I462" s="15"/>
      <c r="J462" s="13">
        <v>3489</v>
      </c>
      <c r="K462" s="15" t="s">
        <v>1266</v>
      </c>
      <c r="L462" s="13"/>
      <c r="M462" s="13"/>
      <c r="N462" s="2"/>
    </row>
    <row r="463" spans="1:14">
      <c r="A463" s="13"/>
      <c r="B463" s="13">
        <v>10842</v>
      </c>
      <c r="C463" s="13">
        <v>19552</v>
      </c>
      <c r="D463" s="13">
        <v>1330</v>
      </c>
      <c r="E463" s="13">
        <v>2345</v>
      </c>
      <c r="F463" s="13">
        <v>764</v>
      </c>
      <c r="G463" s="13"/>
      <c r="H463" s="13"/>
      <c r="I463" s="13"/>
      <c r="J463" s="13"/>
      <c r="K463" s="13"/>
      <c r="L463" s="13"/>
      <c r="M463" s="13"/>
      <c r="N463" s="2"/>
    </row>
    <row r="464" spans="1:14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2"/>
    </row>
    <row r="465" spans="1:14">
      <c r="A465" s="30" t="s">
        <v>149</v>
      </c>
      <c r="B465" s="29" t="s">
        <v>1584</v>
      </c>
      <c r="C465" s="29" t="s">
        <v>545</v>
      </c>
      <c r="D465" s="29" t="s">
        <v>545</v>
      </c>
      <c r="E465" s="29" t="s">
        <v>545</v>
      </c>
      <c r="F465" s="29" t="s">
        <v>1584</v>
      </c>
      <c r="G465" s="29"/>
      <c r="H465" s="29"/>
      <c r="I465" s="29"/>
      <c r="J465" s="30">
        <v>2408</v>
      </c>
      <c r="K465" s="29" t="s">
        <v>1268</v>
      </c>
      <c r="L465" s="13"/>
      <c r="M465" s="13"/>
      <c r="N465" s="2"/>
    </row>
    <row r="466" spans="1:14">
      <c r="A466" s="30"/>
      <c r="B466" s="30">
        <v>14100</v>
      </c>
      <c r="C466" s="30">
        <v>24352</v>
      </c>
      <c r="D466" s="30">
        <v>1501</v>
      </c>
      <c r="E466" s="30">
        <v>3999</v>
      </c>
      <c r="F466" s="30">
        <v>1187</v>
      </c>
      <c r="G466" s="30"/>
      <c r="H466" s="30"/>
      <c r="I466" s="30"/>
      <c r="J466" s="30"/>
      <c r="K466" s="30"/>
      <c r="L466" s="13"/>
      <c r="M466" s="13"/>
      <c r="N466" s="2"/>
    </row>
    <row r="467" spans="1:14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2"/>
    </row>
    <row r="468" spans="1:14">
      <c r="A468" s="13" t="s">
        <v>155</v>
      </c>
      <c r="B468" s="15" t="s">
        <v>1585</v>
      </c>
      <c r="C468" s="15" t="s">
        <v>258</v>
      </c>
      <c r="D468" s="15" t="s">
        <v>258</v>
      </c>
      <c r="E468" s="15" t="s">
        <v>258</v>
      </c>
      <c r="F468" s="15" t="s">
        <v>1585</v>
      </c>
      <c r="G468" s="15"/>
      <c r="H468" s="15"/>
      <c r="I468" s="15"/>
      <c r="J468" s="13">
        <v>1921</v>
      </c>
      <c r="K468" s="15" t="s">
        <v>259</v>
      </c>
      <c r="L468" s="13"/>
      <c r="M468" s="13"/>
      <c r="N468" s="2"/>
    </row>
    <row r="469" spans="1:14">
      <c r="A469" s="13"/>
      <c r="B469" s="13">
        <v>12553</v>
      </c>
      <c r="C469" s="13">
        <v>17016</v>
      </c>
      <c r="D469" s="13">
        <v>1444</v>
      </c>
      <c r="E469" s="13">
        <v>1957</v>
      </c>
      <c r="F469" s="13">
        <v>919</v>
      </c>
      <c r="G469" s="13"/>
      <c r="H469" s="13"/>
      <c r="I469" s="13"/>
      <c r="J469" s="13"/>
      <c r="K469" s="13"/>
      <c r="L469" s="13"/>
      <c r="M469" s="13"/>
      <c r="N469" s="2"/>
    </row>
    <row r="470" spans="1:14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2"/>
    </row>
    <row r="471" spans="1:14">
      <c r="A471" s="30" t="s">
        <v>162</v>
      </c>
      <c r="B471" s="29" t="s">
        <v>1430</v>
      </c>
      <c r="C471" s="29"/>
      <c r="D471" s="29" t="s">
        <v>1430</v>
      </c>
      <c r="E471" s="30"/>
      <c r="F471" s="30"/>
      <c r="G471" s="30"/>
      <c r="H471" s="30"/>
      <c r="I471" s="30"/>
      <c r="J471" s="30">
        <v>12010</v>
      </c>
      <c r="K471" s="29" t="s">
        <v>1431</v>
      </c>
      <c r="L471" s="13"/>
      <c r="M471" s="13"/>
      <c r="N471" s="2"/>
    </row>
    <row r="472" spans="1:14">
      <c r="A472" s="30"/>
      <c r="B472" s="30">
        <v>18912</v>
      </c>
      <c r="C472" s="30"/>
      <c r="D472" s="30">
        <v>3434</v>
      </c>
      <c r="E472" s="30"/>
      <c r="F472" s="30"/>
      <c r="G472" s="30"/>
      <c r="H472" s="30"/>
      <c r="I472" s="30"/>
      <c r="J472" s="30"/>
      <c r="K472" s="30"/>
      <c r="L472" s="13"/>
      <c r="M472" s="13"/>
      <c r="N472" s="2"/>
    </row>
    <row r="473" spans="1:14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3"/>
      <c r="M473" s="13"/>
      <c r="N473" s="2"/>
    </row>
    <row r="474" spans="1:14">
      <c r="A474" s="19" t="s">
        <v>171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2"/>
    </row>
    <row r="475" spans="1:14">
      <c r="A475" s="21" t="s">
        <v>1587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2"/>
    </row>
    <row r="476" spans="1:14">
      <c r="A476" s="21" t="s">
        <v>1588</v>
      </c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2"/>
    </row>
    <row r="477" spans="1:14">
      <c r="A477" s="21" t="s">
        <v>1589</v>
      </c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2"/>
    </row>
    <row r="478" spans="1:14">
      <c r="A478" s="21" t="s">
        <v>1590</v>
      </c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2"/>
    </row>
    <row r="479" spans="1:14">
      <c r="A479" s="21" t="s">
        <v>1591</v>
      </c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2"/>
    </row>
    <row r="480" spans="1:14">
      <c r="A480" s="21" t="s">
        <v>1592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2"/>
    </row>
    <row r="481" spans="1:14">
      <c r="A481" s="13" t="s">
        <v>1593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2"/>
    </row>
    <row r="482" spans="1:14">
      <c r="A482" s="13" t="s">
        <v>1594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2"/>
    </row>
    <row r="483" spans="1:14">
      <c r="A483" s="13" t="s">
        <v>1595</v>
      </c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2"/>
    </row>
    <row r="484" spans="1:14">
      <c r="A484" s="13" t="s">
        <v>1596</v>
      </c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2"/>
    </row>
    <row r="485" spans="1:14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2"/>
    </row>
    <row r="486" spans="1:14">
      <c r="A486" s="56" t="s">
        <v>1597</v>
      </c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2"/>
    </row>
    <row r="487" spans="1:14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2"/>
    </row>
    <row r="488" spans="1:1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</sheetData>
  <hyperlinks>
    <hyperlink ref="A486" r:id="rId1"/>
  </hyperlinks>
  <pageMargins left="0.7" right="0.7" top="0.75" bottom="0.75" header="0.3" footer="0.3"/>
  <pageSetup scale="54" fitToHeight="1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6"/>
  <sheetViews>
    <sheetView workbookViewId="0"/>
  </sheetViews>
  <sheetFormatPr defaultColWidth="15.77734375" defaultRowHeight="15.75"/>
  <cols>
    <col min="1" max="1" width="25.77734375" customWidth="1"/>
    <col min="11" max="11" width="26.77734375" customWidth="1"/>
  </cols>
  <sheetData>
    <row r="1" spans="1:14" ht="20.25">
      <c r="A1" s="47" t="s">
        <v>0</v>
      </c>
      <c r="B1" s="38"/>
      <c r="C1" s="38"/>
      <c r="D1" s="38"/>
      <c r="E1" s="38"/>
      <c r="F1" s="38"/>
      <c r="G1" s="38"/>
      <c r="H1" s="38"/>
      <c r="I1" s="39"/>
      <c r="J1" s="40"/>
      <c r="K1" s="40"/>
      <c r="L1" s="40"/>
      <c r="M1" s="40"/>
      <c r="N1" s="40"/>
    </row>
    <row r="2" spans="1:14" ht="20.25">
      <c r="A2" s="47" t="s">
        <v>1797</v>
      </c>
      <c r="B2" s="38"/>
      <c r="C2" s="38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9.25">
      <c r="A4" s="48" t="s">
        <v>1</v>
      </c>
      <c r="B4" s="25" t="s">
        <v>197</v>
      </c>
      <c r="C4" s="25" t="s">
        <v>186</v>
      </c>
      <c r="D4" s="25" t="s">
        <v>1609</v>
      </c>
      <c r="E4" s="25" t="s">
        <v>215</v>
      </c>
      <c r="F4" s="26" t="s">
        <v>581</v>
      </c>
      <c r="G4" s="26" t="s">
        <v>585</v>
      </c>
      <c r="H4" s="26" t="s">
        <v>586</v>
      </c>
      <c r="I4" s="25" t="s">
        <v>580</v>
      </c>
      <c r="J4" s="27" t="s">
        <v>582</v>
      </c>
      <c r="K4" s="25" t="s">
        <v>2</v>
      </c>
      <c r="L4" s="40"/>
      <c r="M4" s="40"/>
      <c r="N4" s="40"/>
    </row>
    <row r="5" spans="1:14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>
      <c r="A6" s="41" t="s">
        <v>3</v>
      </c>
      <c r="B6" s="12" t="s">
        <v>928</v>
      </c>
      <c r="C6" s="12" t="s">
        <v>1610</v>
      </c>
      <c r="D6" s="12" t="s">
        <v>1610</v>
      </c>
      <c r="E6" s="12" t="s">
        <v>1610</v>
      </c>
      <c r="F6" s="12" t="s">
        <v>1610</v>
      </c>
      <c r="G6" s="12"/>
      <c r="H6" s="12"/>
      <c r="I6" s="12"/>
      <c r="J6" s="15">
        <v>8468</v>
      </c>
      <c r="K6" s="12" t="s">
        <v>1611</v>
      </c>
      <c r="L6" s="15">
        <f>SUM(B6:J7)</f>
        <v>71095</v>
      </c>
      <c r="M6" s="40"/>
      <c r="N6" s="40"/>
    </row>
    <row r="7" spans="1:14">
      <c r="A7" s="40"/>
      <c r="B7" s="15">
        <v>19630</v>
      </c>
      <c r="C7" s="15">
        <v>35918</v>
      </c>
      <c r="D7" s="15">
        <v>2771</v>
      </c>
      <c r="E7" s="15">
        <v>3165</v>
      </c>
      <c r="F7" s="15">
        <v>1143</v>
      </c>
      <c r="G7" s="15"/>
      <c r="H7" s="15"/>
      <c r="I7" s="15"/>
      <c r="J7" s="15"/>
      <c r="K7" s="12"/>
      <c r="L7" s="15"/>
      <c r="M7" s="40"/>
      <c r="N7" s="40"/>
    </row>
    <row r="8" spans="1:14">
      <c r="A8" s="40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40"/>
      <c r="N8" s="40"/>
    </row>
    <row r="9" spans="1:14" ht="17.25">
      <c r="A9" s="40" t="s">
        <v>1786</v>
      </c>
      <c r="B9" s="15" t="s">
        <v>1082</v>
      </c>
      <c r="C9" s="15" t="s">
        <v>1612</v>
      </c>
      <c r="D9" s="15" t="s">
        <v>1612</v>
      </c>
      <c r="E9" s="15" t="s">
        <v>1082</v>
      </c>
      <c r="F9" s="15" t="s">
        <v>1082</v>
      </c>
      <c r="G9" s="15"/>
      <c r="H9" s="15"/>
      <c r="I9" s="15"/>
      <c r="J9" s="15">
        <v>22</v>
      </c>
      <c r="K9" s="15" t="s">
        <v>1613</v>
      </c>
      <c r="L9" s="15">
        <f>SUM(B9:J10)</f>
        <v>11966</v>
      </c>
      <c r="M9" s="40"/>
      <c r="N9" s="40"/>
    </row>
    <row r="10" spans="1:14">
      <c r="A10" s="40"/>
      <c r="B10" s="15">
        <v>5158</v>
      </c>
      <c r="C10" s="15">
        <v>4882</v>
      </c>
      <c r="D10" s="15">
        <v>823</v>
      </c>
      <c r="E10" s="15">
        <v>741</v>
      </c>
      <c r="F10" s="15">
        <v>340</v>
      </c>
      <c r="G10" s="15"/>
      <c r="H10" s="15"/>
      <c r="I10" s="15"/>
      <c r="J10" s="15"/>
      <c r="K10" s="15"/>
      <c r="L10" s="15"/>
      <c r="M10" s="40"/>
      <c r="N10" s="40"/>
    </row>
    <row r="11" spans="1:14">
      <c r="A11" s="40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40"/>
      <c r="N11" s="40"/>
    </row>
    <row r="12" spans="1:14">
      <c r="A12" s="49" t="s">
        <v>10</v>
      </c>
      <c r="B12" s="29" t="s">
        <v>1455</v>
      </c>
      <c r="C12" s="29" t="s">
        <v>1085</v>
      </c>
      <c r="D12" s="29" t="s">
        <v>1614</v>
      </c>
      <c r="E12" s="29" t="s">
        <v>216</v>
      </c>
      <c r="F12" s="29" t="s">
        <v>216</v>
      </c>
      <c r="G12" s="29"/>
      <c r="H12" s="29"/>
      <c r="I12" s="29"/>
      <c r="J12" s="29">
        <v>8042</v>
      </c>
      <c r="K12" s="29" t="s">
        <v>11</v>
      </c>
      <c r="L12" s="15">
        <f>SUM(B12:J13)</f>
        <v>63045</v>
      </c>
      <c r="M12" s="40"/>
      <c r="N12" s="40"/>
    </row>
    <row r="13" spans="1:14">
      <c r="A13" s="50"/>
      <c r="B13" s="29">
        <v>19789</v>
      </c>
      <c r="C13" s="29">
        <v>28963</v>
      </c>
      <c r="D13" s="29">
        <v>1699</v>
      </c>
      <c r="E13" s="29">
        <v>3297</v>
      </c>
      <c r="F13" s="29">
        <v>1255</v>
      </c>
      <c r="G13" s="29"/>
      <c r="H13" s="29"/>
      <c r="I13" s="29"/>
      <c r="J13" s="29"/>
      <c r="K13" s="29"/>
      <c r="L13" s="15"/>
      <c r="M13" s="40"/>
      <c r="N13" s="40"/>
    </row>
    <row r="14" spans="1:14">
      <c r="A14" s="4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40"/>
      <c r="N14" s="40"/>
    </row>
    <row r="15" spans="1:14">
      <c r="A15" s="41" t="s">
        <v>16</v>
      </c>
      <c r="B15" s="12" t="s">
        <v>1287</v>
      </c>
      <c r="C15" s="12" t="s">
        <v>604</v>
      </c>
      <c r="D15" s="12" t="s">
        <v>604</v>
      </c>
      <c r="E15" s="12" t="s">
        <v>1287</v>
      </c>
      <c r="F15" s="12" t="s">
        <v>1287</v>
      </c>
      <c r="G15" s="12"/>
      <c r="H15" s="12"/>
      <c r="I15" s="12"/>
      <c r="J15" s="15">
        <v>7395</v>
      </c>
      <c r="K15" s="12" t="s">
        <v>1289</v>
      </c>
      <c r="L15" s="15">
        <f>SUM(B15:J16)</f>
        <v>53502</v>
      </c>
      <c r="M15" s="40"/>
      <c r="N15" s="40"/>
    </row>
    <row r="16" spans="1:14">
      <c r="A16" s="40"/>
      <c r="B16" s="15">
        <v>26015</v>
      </c>
      <c r="C16" s="15">
        <v>15252</v>
      </c>
      <c r="D16" s="15">
        <v>1495</v>
      </c>
      <c r="E16" s="15">
        <v>1945</v>
      </c>
      <c r="F16" s="15">
        <v>1400</v>
      </c>
      <c r="G16" s="15"/>
      <c r="H16" s="15"/>
      <c r="I16" s="15"/>
      <c r="J16" s="15"/>
      <c r="K16" s="12"/>
      <c r="L16" s="15"/>
      <c r="M16" s="40"/>
      <c r="N16" s="40"/>
    </row>
    <row r="17" spans="1:14">
      <c r="A17" s="40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40"/>
      <c r="N17" s="40"/>
    </row>
    <row r="18" spans="1:14">
      <c r="A18" s="49" t="s">
        <v>26</v>
      </c>
      <c r="B18" s="32" t="s">
        <v>187</v>
      </c>
      <c r="C18" s="32" t="s">
        <v>1615</v>
      </c>
      <c r="D18" s="32" t="s">
        <v>1615</v>
      </c>
      <c r="E18" s="32" t="s">
        <v>198</v>
      </c>
      <c r="F18" s="32" t="s">
        <v>198</v>
      </c>
      <c r="G18" s="32"/>
      <c r="H18" s="32"/>
      <c r="I18" s="32"/>
      <c r="J18" s="29">
        <v>8092</v>
      </c>
      <c r="K18" s="32" t="s">
        <v>27</v>
      </c>
      <c r="L18" s="15">
        <f>SUM(B18:J19)</f>
        <v>62528</v>
      </c>
      <c r="M18" s="40"/>
      <c r="N18" s="40"/>
    </row>
    <row r="19" spans="1:14">
      <c r="A19" s="50"/>
      <c r="B19" s="29">
        <v>30903</v>
      </c>
      <c r="C19" s="29">
        <v>18472</v>
      </c>
      <c r="D19" s="29">
        <v>1827</v>
      </c>
      <c r="E19" s="32">
        <v>2038</v>
      </c>
      <c r="F19" s="32">
        <v>1196</v>
      </c>
      <c r="G19" s="32"/>
      <c r="H19" s="32"/>
      <c r="I19" s="29"/>
      <c r="J19" s="29"/>
      <c r="K19" s="32"/>
      <c r="L19" s="15"/>
      <c r="M19" s="40"/>
      <c r="N19" s="40"/>
    </row>
    <row r="20" spans="1:14">
      <c r="A20" s="40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40"/>
      <c r="N20" s="40"/>
    </row>
    <row r="21" spans="1:14">
      <c r="A21" s="41" t="s">
        <v>40</v>
      </c>
      <c r="B21" s="12" t="s">
        <v>1089</v>
      </c>
      <c r="C21" s="12" t="s">
        <v>1291</v>
      </c>
      <c r="D21" s="12" t="s">
        <v>1291</v>
      </c>
      <c r="E21" s="12" t="s">
        <v>1291</v>
      </c>
      <c r="F21" s="12" t="s">
        <v>1089</v>
      </c>
      <c r="G21" s="12"/>
      <c r="H21" s="12"/>
      <c r="I21" s="12"/>
      <c r="J21" s="15">
        <v>10272</v>
      </c>
      <c r="K21" s="12" t="s">
        <v>1292</v>
      </c>
      <c r="L21" s="15">
        <f>SUM(B21:J22)</f>
        <v>61741</v>
      </c>
      <c r="M21" s="40"/>
      <c r="N21" s="40"/>
    </row>
    <row r="22" spans="1:14">
      <c r="A22" s="40"/>
      <c r="B22" s="15">
        <v>27322</v>
      </c>
      <c r="C22" s="15">
        <v>19405</v>
      </c>
      <c r="D22" s="15">
        <v>1854</v>
      </c>
      <c r="E22" s="15">
        <v>1104</v>
      </c>
      <c r="F22" s="15">
        <v>1784</v>
      </c>
      <c r="G22" s="15"/>
      <c r="H22" s="15"/>
      <c r="I22" s="15"/>
      <c r="J22" s="15"/>
      <c r="K22" s="12"/>
      <c r="L22" s="15"/>
      <c r="M22" s="40"/>
      <c r="N22" s="40"/>
    </row>
    <row r="23" spans="1:14">
      <c r="A23" s="40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40"/>
      <c r="N23" s="40"/>
    </row>
    <row r="24" spans="1:14">
      <c r="A24" s="49" t="s">
        <v>52</v>
      </c>
      <c r="B24" s="32" t="s">
        <v>217</v>
      </c>
      <c r="C24" s="32" t="s">
        <v>1410</v>
      </c>
      <c r="D24" s="32" t="s">
        <v>1410</v>
      </c>
      <c r="E24" s="32" t="s">
        <v>217</v>
      </c>
      <c r="F24" s="32" t="s">
        <v>217</v>
      </c>
      <c r="G24" s="32"/>
      <c r="H24" s="32"/>
      <c r="I24" s="29"/>
      <c r="J24" s="29">
        <v>5538</v>
      </c>
      <c r="K24" s="32" t="s">
        <v>218</v>
      </c>
      <c r="L24" s="15">
        <f>SUM(B24:J25)</f>
        <v>35014</v>
      </c>
      <c r="M24" s="40"/>
      <c r="N24" s="40"/>
    </row>
    <row r="25" spans="1:14">
      <c r="A25" s="50"/>
      <c r="B25" s="29">
        <v>17502</v>
      </c>
      <c r="C25" s="29">
        <v>8898</v>
      </c>
      <c r="D25" s="29">
        <v>1126</v>
      </c>
      <c r="E25" s="29">
        <v>1154</v>
      </c>
      <c r="F25" s="29">
        <v>796</v>
      </c>
      <c r="G25" s="29"/>
      <c r="H25" s="29"/>
      <c r="I25" s="29"/>
      <c r="J25" s="29"/>
      <c r="K25" s="32"/>
      <c r="L25" s="15"/>
      <c r="M25" s="40"/>
      <c r="N25" s="40"/>
    </row>
    <row r="26" spans="1:14">
      <c r="A26" s="40"/>
      <c r="B26" s="16"/>
      <c r="C26" s="16"/>
      <c r="D26" s="16"/>
      <c r="E26" s="16"/>
      <c r="F26" s="16"/>
      <c r="G26" s="16"/>
      <c r="H26" s="16"/>
      <c r="I26" s="15"/>
      <c r="J26" s="15"/>
      <c r="K26" s="15"/>
      <c r="L26" s="15"/>
      <c r="M26" s="40"/>
      <c r="N26" s="40"/>
    </row>
    <row r="27" spans="1:14">
      <c r="A27" s="41" t="s">
        <v>59</v>
      </c>
      <c r="B27" s="12" t="s">
        <v>557</v>
      </c>
      <c r="C27" s="12" t="s">
        <v>219</v>
      </c>
      <c r="D27" s="12" t="s">
        <v>219</v>
      </c>
      <c r="E27" s="12" t="s">
        <v>219</v>
      </c>
      <c r="F27" s="12" t="s">
        <v>557</v>
      </c>
      <c r="G27" s="12"/>
      <c r="H27" s="12"/>
      <c r="I27" s="12"/>
      <c r="J27" s="15">
        <v>10088</v>
      </c>
      <c r="K27" s="12" t="s">
        <v>220</v>
      </c>
      <c r="L27" s="15">
        <f>SUM(B27:J28)</f>
        <v>68345</v>
      </c>
      <c r="M27" s="40"/>
      <c r="N27" s="40"/>
    </row>
    <row r="28" spans="1:14">
      <c r="A28" s="40"/>
      <c r="B28" s="15">
        <v>22219</v>
      </c>
      <c r="C28" s="15">
        <v>30618</v>
      </c>
      <c r="D28" s="15">
        <v>2761</v>
      </c>
      <c r="E28" s="15">
        <v>1803</v>
      </c>
      <c r="F28" s="15">
        <v>856</v>
      </c>
      <c r="G28" s="15"/>
      <c r="H28" s="15"/>
      <c r="I28" s="15"/>
      <c r="J28" s="15"/>
      <c r="K28" s="12"/>
      <c r="L28" s="15"/>
      <c r="M28" s="40"/>
      <c r="N28" s="40"/>
    </row>
    <row r="29" spans="1:14">
      <c r="A29" s="40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40"/>
      <c r="N29" s="40"/>
    </row>
    <row r="30" spans="1:14">
      <c r="A30" s="49" t="s">
        <v>64</v>
      </c>
      <c r="B30" s="32" t="s">
        <v>1616</v>
      </c>
      <c r="C30" s="32" t="s">
        <v>1617</v>
      </c>
      <c r="D30" s="32" t="s">
        <v>1617</v>
      </c>
      <c r="E30" s="32" t="s">
        <v>1617</v>
      </c>
      <c r="F30" s="32" t="s">
        <v>1617</v>
      </c>
      <c r="G30" s="32"/>
      <c r="H30" s="32"/>
      <c r="I30" s="32"/>
      <c r="J30" s="29">
        <v>11766</v>
      </c>
      <c r="K30" s="32" t="s">
        <v>1618</v>
      </c>
      <c r="L30" s="15">
        <f>SUM(B30:J31)</f>
        <v>60760</v>
      </c>
      <c r="M30" s="40"/>
      <c r="N30" s="40"/>
    </row>
    <row r="31" spans="1:14">
      <c r="A31" s="50"/>
      <c r="B31" s="29">
        <v>17023</v>
      </c>
      <c r="C31" s="29">
        <v>26856</v>
      </c>
      <c r="D31" s="29">
        <v>2198</v>
      </c>
      <c r="E31" s="29">
        <v>2016</v>
      </c>
      <c r="F31" s="29">
        <v>901</v>
      </c>
      <c r="G31" s="29"/>
      <c r="H31" s="29"/>
      <c r="I31" s="29"/>
      <c r="J31" s="29"/>
      <c r="K31" s="32"/>
      <c r="L31" s="15"/>
      <c r="M31" s="40"/>
      <c r="N31" s="40"/>
    </row>
    <row r="32" spans="1:14">
      <c r="A32" s="50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15"/>
      <c r="M32" s="40"/>
      <c r="N32" s="40"/>
    </row>
    <row r="33" spans="1:14" ht="17.25">
      <c r="A33" s="50" t="s">
        <v>1787</v>
      </c>
      <c r="B33" s="29" t="s">
        <v>1619</v>
      </c>
      <c r="C33" s="29" t="s">
        <v>1092</v>
      </c>
      <c r="D33" s="29" t="s">
        <v>1092</v>
      </c>
      <c r="E33" s="29" t="s">
        <v>1092</v>
      </c>
      <c r="F33" s="29" t="s">
        <v>1619</v>
      </c>
      <c r="G33" s="29"/>
      <c r="H33" s="29"/>
      <c r="I33" s="29" t="s">
        <v>1621</v>
      </c>
      <c r="J33" s="29">
        <v>8</v>
      </c>
      <c r="K33" s="29" t="s">
        <v>1620</v>
      </c>
      <c r="L33" s="15">
        <f>SUM(B33:J34)</f>
        <v>9489</v>
      </c>
      <c r="M33" s="40"/>
      <c r="N33" s="40"/>
    </row>
    <row r="34" spans="1:14">
      <c r="A34" s="50"/>
      <c r="B34" s="29">
        <v>2936</v>
      </c>
      <c r="C34" s="29">
        <v>4899</v>
      </c>
      <c r="D34" s="29">
        <v>600</v>
      </c>
      <c r="E34" s="29">
        <v>464</v>
      </c>
      <c r="F34" s="29">
        <v>292</v>
      </c>
      <c r="G34" s="29"/>
      <c r="H34" s="29"/>
      <c r="I34" s="29">
        <v>290</v>
      </c>
      <c r="J34" s="29"/>
      <c r="K34" s="29"/>
      <c r="L34" s="15"/>
      <c r="M34" s="40"/>
      <c r="N34" s="40"/>
    </row>
    <row r="35" spans="1:14">
      <c r="A35" s="40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40"/>
      <c r="N35" s="40"/>
    </row>
    <row r="36" spans="1:14">
      <c r="A36" s="41" t="s">
        <v>73</v>
      </c>
      <c r="B36" s="12" t="s">
        <v>800</v>
      </c>
      <c r="C36" s="12" t="s">
        <v>238</v>
      </c>
      <c r="D36" s="12" t="s">
        <v>238</v>
      </c>
      <c r="E36" s="12" t="s">
        <v>238</v>
      </c>
      <c r="F36" s="12" t="s">
        <v>238</v>
      </c>
      <c r="G36" s="12"/>
      <c r="H36" s="12"/>
      <c r="I36" s="12"/>
      <c r="J36" s="15">
        <v>9997</v>
      </c>
      <c r="K36" s="12" t="s">
        <v>239</v>
      </c>
      <c r="L36" s="15">
        <f>SUM(B36:J37)</f>
        <v>66482</v>
      </c>
      <c r="M36" s="40"/>
      <c r="N36" s="40"/>
    </row>
    <row r="37" spans="1:14">
      <c r="A37" s="40"/>
      <c r="B37" s="15">
        <v>20825</v>
      </c>
      <c r="C37" s="15">
        <v>29669</v>
      </c>
      <c r="D37" s="15">
        <v>2636</v>
      </c>
      <c r="E37" s="15">
        <v>2497</v>
      </c>
      <c r="F37" s="15">
        <v>858</v>
      </c>
      <c r="G37" s="15"/>
      <c r="H37" s="15"/>
      <c r="I37" s="15"/>
      <c r="J37" s="15"/>
      <c r="K37" s="12"/>
      <c r="L37" s="15"/>
      <c r="M37" s="40"/>
      <c r="N37" s="40"/>
    </row>
    <row r="38" spans="1:14">
      <c r="A38" s="40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40"/>
      <c r="N38" s="40"/>
    </row>
    <row r="39" spans="1:14">
      <c r="A39" s="49" t="s">
        <v>80</v>
      </c>
      <c r="B39" s="32" t="s">
        <v>1622</v>
      </c>
      <c r="C39" s="32" t="s">
        <v>1096</v>
      </c>
      <c r="D39" s="32" t="s">
        <v>1096</v>
      </c>
      <c r="E39" s="32" t="s">
        <v>1622</v>
      </c>
      <c r="F39" s="32" t="s">
        <v>1622</v>
      </c>
      <c r="G39" s="32"/>
      <c r="H39" s="32"/>
      <c r="I39" s="29" t="s">
        <v>1623</v>
      </c>
      <c r="J39" s="29">
        <v>8632</v>
      </c>
      <c r="K39" s="32" t="s">
        <v>1098</v>
      </c>
      <c r="L39" s="15">
        <f>SUM(B39:J40)</f>
        <v>63333</v>
      </c>
      <c r="M39" s="40"/>
      <c r="N39" s="40"/>
    </row>
    <row r="40" spans="1:14">
      <c r="A40" s="50"/>
      <c r="B40" s="29">
        <v>24658</v>
      </c>
      <c r="C40" s="29">
        <v>25415</v>
      </c>
      <c r="D40" s="29">
        <v>2502</v>
      </c>
      <c r="E40" s="29">
        <v>1234</v>
      </c>
      <c r="F40" s="29">
        <v>715</v>
      </c>
      <c r="G40" s="29"/>
      <c r="H40" s="29"/>
      <c r="I40" s="29">
        <v>177</v>
      </c>
      <c r="J40" s="29"/>
      <c r="K40" s="32"/>
      <c r="L40" s="15"/>
      <c r="M40" s="40"/>
      <c r="N40" s="40"/>
    </row>
    <row r="41" spans="1:14">
      <c r="A41" s="40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40"/>
      <c r="N41" s="40"/>
    </row>
    <row r="42" spans="1:14">
      <c r="A42" s="41" t="s">
        <v>83</v>
      </c>
      <c r="B42" s="12" t="s">
        <v>939</v>
      </c>
      <c r="C42" s="12"/>
      <c r="D42" s="12" t="s">
        <v>1201</v>
      </c>
      <c r="E42" s="12" t="s">
        <v>941</v>
      </c>
      <c r="F42" s="12" t="s">
        <v>941</v>
      </c>
      <c r="G42" s="12"/>
      <c r="H42" s="12"/>
      <c r="I42" s="12"/>
      <c r="J42" s="15">
        <v>18550</v>
      </c>
      <c r="K42" s="12" t="s">
        <v>942</v>
      </c>
      <c r="L42" s="15">
        <f>SUM(B42:J43)</f>
        <v>46553</v>
      </c>
      <c r="M42" s="40"/>
      <c r="N42" s="40"/>
    </row>
    <row r="43" spans="1:14">
      <c r="A43" s="40"/>
      <c r="B43" s="15">
        <v>22944</v>
      </c>
      <c r="C43" s="15"/>
      <c r="D43" s="15">
        <v>1858</v>
      </c>
      <c r="E43" s="15">
        <v>2021</v>
      </c>
      <c r="F43" s="15">
        <v>1180</v>
      </c>
      <c r="G43" s="15"/>
      <c r="H43" s="15"/>
      <c r="I43" s="15"/>
      <c r="J43" s="15"/>
      <c r="K43" s="12"/>
      <c r="L43" s="15"/>
      <c r="M43" s="40"/>
      <c r="N43" s="40"/>
    </row>
    <row r="44" spans="1:14">
      <c r="A44" s="40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40"/>
      <c r="N44" s="40"/>
    </row>
    <row r="45" spans="1:14">
      <c r="A45" s="49" t="s">
        <v>91</v>
      </c>
      <c r="B45" s="32" t="s">
        <v>1604</v>
      </c>
      <c r="C45" s="32" t="s">
        <v>243</v>
      </c>
      <c r="D45" s="32" t="s">
        <v>243</v>
      </c>
      <c r="E45" s="32" t="s">
        <v>243</v>
      </c>
      <c r="F45" s="32" t="s">
        <v>1604</v>
      </c>
      <c r="G45" s="32"/>
      <c r="H45" s="32"/>
      <c r="I45" s="32"/>
      <c r="J45" s="29">
        <v>8245</v>
      </c>
      <c r="K45" s="32" t="s">
        <v>401</v>
      </c>
      <c r="L45" s="15">
        <f>SUM(B45:J46)</f>
        <v>64706</v>
      </c>
      <c r="M45" s="40"/>
      <c r="N45" s="40"/>
    </row>
    <row r="46" spans="1:14">
      <c r="A46" s="50"/>
      <c r="B46" s="29">
        <v>17161</v>
      </c>
      <c r="C46" s="29">
        <v>34339</v>
      </c>
      <c r="D46" s="29">
        <v>2967</v>
      </c>
      <c r="E46" s="29">
        <v>1439</v>
      </c>
      <c r="F46" s="29">
        <v>555</v>
      </c>
      <c r="G46" s="29"/>
      <c r="H46" s="29"/>
      <c r="I46" s="29"/>
      <c r="J46" s="29"/>
      <c r="K46" s="32"/>
      <c r="L46" s="15"/>
      <c r="M46" s="40"/>
      <c r="N46" s="40"/>
    </row>
    <row r="47" spans="1:14">
      <c r="A47" s="40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40"/>
      <c r="N47" s="40"/>
    </row>
    <row r="48" spans="1:14">
      <c r="A48" s="41" t="s">
        <v>94</v>
      </c>
      <c r="B48" s="12" t="s">
        <v>244</v>
      </c>
      <c r="C48" s="12" t="s">
        <v>1624</v>
      </c>
      <c r="D48" s="12" t="s">
        <v>1624</v>
      </c>
      <c r="E48" s="12" t="s">
        <v>1625</v>
      </c>
      <c r="F48" s="12" t="s">
        <v>1625</v>
      </c>
      <c r="G48" s="12"/>
      <c r="H48" s="12"/>
      <c r="I48" s="15"/>
      <c r="J48" s="15">
        <v>8336</v>
      </c>
      <c r="K48" s="12" t="s">
        <v>245</v>
      </c>
      <c r="L48" s="15">
        <f>SUM(B48:J49)</f>
        <v>64652</v>
      </c>
      <c r="M48" s="40"/>
      <c r="N48" s="40"/>
    </row>
    <row r="49" spans="1:14">
      <c r="A49" s="40"/>
      <c r="B49" s="15">
        <v>33345</v>
      </c>
      <c r="C49" s="15">
        <v>17465</v>
      </c>
      <c r="D49" s="15">
        <v>1269</v>
      </c>
      <c r="E49" s="15">
        <v>3478</v>
      </c>
      <c r="F49" s="15">
        <v>759</v>
      </c>
      <c r="G49" s="15"/>
      <c r="H49" s="15"/>
      <c r="I49" s="15"/>
      <c r="J49" s="15"/>
      <c r="K49" s="12"/>
      <c r="L49" s="15"/>
      <c r="M49" s="40"/>
      <c r="N49" s="40"/>
    </row>
    <row r="50" spans="1:14">
      <c r="A50" s="40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40"/>
      <c r="N50" s="40"/>
    </row>
    <row r="51" spans="1:14">
      <c r="A51" s="49" t="s">
        <v>104</v>
      </c>
      <c r="B51" s="32" t="s">
        <v>350</v>
      </c>
      <c r="C51" s="32" t="s">
        <v>1302</v>
      </c>
      <c r="D51" s="32" t="s">
        <v>1302</v>
      </c>
      <c r="E51" s="32" t="s">
        <v>1302</v>
      </c>
      <c r="F51" s="32"/>
      <c r="G51" s="32"/>
      <c r="H51" s="32"/>
      <c r="I51" s="29"/>
      <c r="J51" s="29">
        <v>10046</v>
      </c>
      <c r="K51" s="32" t="s">
        <v>1303</v>
      </c>
      <c r="L51" s="15">
        <f>SUM(B51:J52)</f>
        <v>63264</v>
      </c>
      <c r="M51" s="40"/>
      <c r="N51" s="40"/>
    </row>
    <row r="52" spans="1:14">
      <c r="A52" s="50"/>
      <c r="B52" s="29">
        <v>21051</v>
      </c>
      <c r="C52" s="29">
        <v>28532</v>
      </c>
      <c r="D52" s="29">
        <v>2108</v>
      </c>
      <c r="E52" s="29">
        <v>1527</v>
      </c>
      <c r="F52" s="29"/>
      <c r="G52" s="29"/>
      <c r="H52" s="29"/>
      <c r="I52" s="29"/>
      <c r="J52" s="29"/>
      <c r="K52" s="32"/>
      <c r="L52" s="15"/>
      <c r="M52" s="40"/>
      <c r="N52" s="40"/>
    </row>
    <row r="53" spans="1:14">
      <c r="A53" s="40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40"/>
      <c r="N53" s="40"/>
    </row>
    <row r="54" spans="1:14">
      <c r="A54" s="41" t="s">
        <v>110</v>
      </c>
      <c r="B54" s="12" t="s">
        <v>1626</v>
      </c>
      <c r="C54" s="12" t="s">
        <v>1627</v>
      </c>
      <c r="D54" s="12" t="s">
        <v>1627</v>
      </c>
      <c r="E54" s="12" t="s">
        <v>1627</v>
      </c>
      <c r="F54" s="12"/>
      <c r="G54" s="12"/>
      <c r="H54" s="12"/>
      <c r="I54" s="15"/>
      <c r="J54" s="15">
        <v>7593</v>
      </c>
      <c r="K54" s="12" t="s">
        <v>1628</v>
      </c>
      <c r="L54" s="15">
        <f>SUM(B54:J55)</f>
        <v>59797</v>
      </c>
      <c r="M54" s="40"/>
      <c r="N54" s="40"/>
    </row>
    <row r="55" spans="1:14">
      <c r="A55" s="40"/>
      <c r="B55" s="15">
        <v>20043</v>
      </c>
      <c r="C55" s="15">
        <v>28399</v>
      </c>
      <c r="D55" s="15">
        <v>2229</v>
      </c>
      <c r="E55" s="15">
        <v>1533</v>
      </c>
      <c r="F55" s="15"/>
      <c r="G55" s="15"/>
      <c r="H55" s="15"/>
      <c r="I55" s="15"/>
      <c r="J55" s="15"/>
      <c r="K55" s="12"/>
      <c r="L55" s="15"/>
      <c r="M55" s="40"/>
      <c r="N55" s="40"/>
    </row>
    <row r="56" spans="1:14">
      <c r="A56" s="40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40"/>
      <c r="N56" s="40"/>
    </row>
    <row r="57" spans="1:14" ht="17.25">
      <c r="A57" s="41" t="s">
        <v>1788</v>
      </c>
      <c r="B57" s="15" t="s">
        <v>1629</v>
      </c>
      <c r="C57" s="15" t="s">
        <v>414</v>
      </c>
      <c r="D57" s="15" t="s">
        <v>414</v>
      </c>
      <c r="E57" s="15"/>
      <c r="F57" s="15"/>
      <c r="G57" s="15"/>
      <c r="H57" s="15"/>
      <c r="I57" s="15"/>
      <c r="J57" s="15">
        <v>0</v>
      </c>
      <c r="K57" s="15" t="s">
        <v>1305</v>
      </c>
      <c r="L57" s="15">
        <f>SUM(B57:J58)</f>
        <v>2511</v>
      </c>
      <c r="M57" s="40"/>
      <c r="N57" s="40"/>
    </row>
    <row r="58" spans="1:14">
      <c r="A58" s="40"/>
      <c r="B58" s="15">
        <v>471</v>
      </c>
      <c r="C58" s="15">
        <v>1839</v>
      </c>
      <c r="D58" s="15">
        <v>201</v>
      </c>
      <c r="E58" s="15"/>
      <c r="F58" s="15"/>
      <c r="G58" s="15"/>
      <c r="H58" s="15"/>
      <c r="I58" s="15"/>
      <c r="J58" s="15"/>
      <c r="K58" s="15"/>
      <c r="L58" s="15"/>
      <c r="M58" s="40"/>
      <c r="N58" s="40"/>
    </row>
    <row r="59" spans="1:14">
      <c r="A59" s="40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40"/>
      <c r="N59" s="40"/>
    </row>
    <row r="60" spans="1:14">
      <c r="A60" s="49" t="s">
        <v>114</v>
      </c>
      <c r="B60" s="32" t="s">
        <v>1464</v>
      </c>
      <c r="C60" s="32" t="s">
        <v>1630</v>
      </c>
      <c r="D60" s="32" t="s">
        <v>1630</v>
      </c>
      <c r="E60" s="32" t="s">
        <v>1631</v>
      </c>
      <c r="F60" s="32" t="s">
        <v>1466</v>
      </c>
      <c r="G60" s="32"/>
      <c r="H60" s="32"/>
      <c r="I60" s="29"/>
      <c r="J60" s="29">
        <v>7939</v>
      </c>
      <c r="K60" s="32" t="s">
        <v>1467</v>
      </c>
      <c r="L60" s="15">
        <f>SUM(B60:J61)</f>
        <v>65909</v>
      </c>
      <c r="M60" s="40"/>
      <c r="N60" s="40"/>
    </row>
    <row r="61" spans="1:14">
      <c r="A61" s="50"/>
      <c r="B61" s="29">
        <v>37769</v>
      </c>
      <c r="C61" s="29">
        <v>16554</v>
      </c>
      <c r="D61" s="29">
        <v>1237</v>
      </c>
      <c r="E61" s="29">
        <v>1455</v>
      </c>
      <c r="F61" s="29">
        <v>955</v>
      </c>
      <c r="G61" s="29"/>
      <c r="H61" s="29"/>
      <c r="I61" s="29"/>
      <c r="J61" s="29"/>
      <c r="K61" s="32"/>
      <c r="L61" s="15"/>
      <c r="M61" s="40"/>
      <c r="N61" s="40"/>
    </row>
    <row r="62" spans="1:14">
      <c r="A62" s="4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40"/>
      <c r="N62" s="40"/>
    </row>
    <row r="63" spans="1:14">
      <c r="A63" s="41" t="s">
        <v>128</v>
      </c>
      <c r="B63" s="12" t="s">
        <v>608</v>
      </c>
      <c r="C63" s="12" t="s">
        <v>1632</v>
      </c>
      <c r="D63" s="12" t="s">
        <v>1632</v>
      </c>
      <c r="E63" s="12" t="s">
        <v>1632</v>
      </c>
      <c r="F63" s="12" t="s">
        <v>1632</v>
      </c>
      <c r="G63" s="12"/>
      <c r="H63" s="12"/>
      <c r="I63" s="15"/>
      <c r="J63" s="15">
        <v>8726</v>
      </c>
      <c r="K63" s="12" t="s">
        <v>1633</v>
      </c>
      <c r="L63" s="15">
        <f>SUM(B63:J64)</f>
        <v>66050</v>
      </c>
      <c r="M63" s="40"/>
      <c r="N63" s="40"/>
    </row>
    <row r="64" spans="1:14">
      <c r="A64" s="40"/>
      <c r="B64" s="15">
        <v>21859</v>
      </c>
      <c r="C64" s="15">
        <v>30367</v>
      </c>
      <c r="D64" s="15">
        <v>2734</v>
      </c>
      <c r="E64" s="15">
        <v>1630</v>
      </c>
      <c r="F64" s="15">
        <v>734</v>
      </c>
      <c r="G64" s="15"/>
      <c r="H64" s="15"/>
      <c r="I64" s="15"/>
      <c r="J64" s="15"/>
      <c r="K64" s="12"/>
      <c r="L64" s="15"/>
      <c r="M64" s="40"/>
      <c r="N64" s="40"/>
    </row>
    <row r="65" spans="1:14">
      <c r="A65" s="40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40"/>
      <c r="N65" s="40"/>
    </row>
    <row r="66" spans="1:14" ht="17.25">
      <c r="A66" s="40" t="s">
        <v>1789</v>
      </c>
      <c r="B66" s="15" t="s">
        <v>1634</v>
      </c>
      <c r="C66" s="15" t="s">
        <v>252</v>
      </c>
      <c r="D66" s="15" t="s">
        <v>252</v>
      </c>
      <c r="E66" s="15" t="s">
        <v>252</v>
      </c>
      <c r="F66" s="15" t="s">
        <v>1634</v>
      </c>
      <c r="G66" s="15"/>
      <c r="H66" s="15"/>
      <c r="I66" s="15"/>
      <c r="J66" s="15">
        <v>1</v>
      </c>
      <c r="K66" s="15" t="s">
        <v>253</v>
      </c>
      <c r="L66" s="15">
        <f>SUM(B66:J67)</f>
        <v>5253</v>
      </c>
      <c r="M66" s="40"/>
      <c r="N66" s="40"/>
    </row>
    <row r="67" spans="1:14">
      <c r="A67" s="40"/>
      <c r="B67" s="15">
        <v>1572</v>
      </c>
      <c r="C67" s="15">
        <v>2991</v>
      </c>
      <c r="D67" s="15">
        <v>410</v>
      </c>
      <c r="E67" s="15">
        <v>160</v>
      </c>
      <c r="F67" s="15">
        <v>119</v>
      </c>
      <c r="G67" s="15"/>
      <c r="H67" s="15"/>
      <c r="I67" s="15"/>
      <c r="J67" s="15"/>
      <c r="K67" s="15"/>
      <c r="L67" s="15"/>
      <c r="M67" s="40"/>
      <c r="N67" s="40"/>
    </row>
    <row r="68" spans="1:14">
      <c r="A68" s="40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40"/>
      <c r="N68" s="40"/>
    </row>
    <row r="69" spans="1:14">
      <c r="A69" s="49" t="s">
        <v>133</v>
      </c>
      <c r="B69" s="32" t="s">
        <v>221</v>
      </c>
      <c r="C69" s="32" t="s">
        <v>310</v>
      </c>
      <c r="D69" s="32" t="s">
        <v>310</v>
      </c>
      <c r="E69" s="32" t="s">
        <v>221</v>
      </c>
      <c r="F69" s="32"/>
      <c r="G69" s="32"/>
      <c r="H69" s="32"/>
      <c r="I69" s="32"/>
      <c r="J69" s="29">
        <v>7069</v>
      </c>
      <c r="K69" s="32" t="s">
        <v>222</v>
      </c>
      <c r="L69" s="15">
        <f>SUM(B69:J70)</f>
        <v>41250</v>
      </c>
      <c r="M69" s="40"/>
      <c r="N69" s="40"/>
    </row>
    <row r="70" spans="1:14">
      <c r="A70" s="50"/>
      <c r="B70" s="29">
        <v>26926</v>
      </c>
      <c r="C70" s="29">
        <v>5891</v>
      </c>
      <c r="D70" s="29">
        <v>612</v>
      </c>
      <c r="E70" s="29">
        <v>752</v>
      </c>
      <c r="F70" s="29"/>
      <c r="G70" s="29"/>
      <c r="H70" s="29"/>
      <c r="I70" s="29"/>
      <c r="J70" s="29"/>
      <c r="K70" s="32"/>
      <c r="L70" s="15"/>
      <c r="M70" s="40"/>
      <c r="N70" s="40"/>
    </row>
    <row r="71" spans="1:14">
      <c r="A71" s="40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40"/>
      <c r="N71" s="40"/>
    </row>
    <row r="72" spans="1:14">
      <c r="A72" s="41" t="s">
        <v>138</v>
      </c>
      <c r="B72" s="12" t="s">
        <v>1635</v>
      </c>
      <c r="C72" s="12" t="s">
        <v>213</v>
      </c>
      <c r="D72" s="12" t="s">
        <v>213</v>
      </c>
      <c r="E72" s="12" t="s">
        <v>213</v>
      </c>
      <c r="F72" s="12"/>
      <c r="G72" s="12"/>
      <c r="H72" s="12"/>
      <c r="I72" s="15"/>
      <c r="J72" s="15">
        <v>10767</v>
      </c>
      <c r="K72" s="12" t="s">
        <v>214</v>
      </c>
      <c r="L72" s="15">
        <f>SUM(B72:J73)</f>
        <v>65646</v>
      </c>
      <c r="M72" s="40"/>
      <c r="N72" s="40"/>
    </row>
    <row r="73" spans="1:14">
      <c r="A73" s="40"/>
      <c r="B73" s="15">
        <v>22171</v>
      </c>
      <c r="C73" s="15">
        <v>28943</v>
      </c>
      <c r="D73" s="15">
        <v>2434</v>
      </c>
      <c r="E73" s="15">
        <v>1331</v>
      </c>
      <c r="F73" s="15"/>
      <c r="G73" s="15"/>
      <c r="H73" s="15"/>
      <c r="I73" s="15"/>
      <c r="J73" s="15"/>
      <c r="K73" s="12"/>
      <c r="L73" s="15"/>
      <c r="M73" s="40"/>
      <c r="N73" s="40"/>
    </row>
    <row r="74" spans="1:14">
      <c r="A74" s="40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40"/>
      <c r="N74" s="40"/>
    </row>
    <row r="75" spans="1:14">
      <c r="A75" s="49" t="s">
        <v>141</v>
      </c>
      <c r="B75" s="32" t="s">
        <v>947</v>
      </c>
      <c r="C75" s="32" t="s">
        <v>1636</v>
      </c>
      <c r="D75" s="32" t="s">
        <v>1636</v>
      </c>
      <c r="E75" s="32" t="s">
        <v>1637</v>
      </c>
      <c r="F75" s="32" t="s">
        <v>1637</v>
      </c>
      <c r="G75" s="32"/>
      <c r="H75" s="32"/>
      <c r="I75" s="29"/>
      <c r="J75" s="29">
        <v>8993</v>
      </c>
      <c r="K75" s="32" t="s">
        <v>951</v>
      </c>
      <c r="L75" s="15">
        <f>SUM(B75:J76)</f>
        <v>62334</v>
      </c>
      <c r="M75" s="40"/>
      <c r="N75" s="40"/>
    </row>
    <row r="76" spans="1:14">
      <c r="A76" s="50"/>
      <c r="B76" s="29">
        <v>33917</v>
      </c>
      <c r="C76" s="29">
        <v>16345</v>
      </c>
      <c r="D76" s="29">
        <v>907</v>
      </c>
      <c r="E76" s="29">
        <v>1457</v>
      </c>
      <c r="F76" s="29">
        <v>715</v>
      </c>
      <c r="G76" s="29"/>
      <c r="H76" s="29"/>
      <c r="I76" s="29"/>
      <c r="J76" s="29"/>
      <c r="K76" s="32"/>
      <c r="L76" s="15"/>
      <c r="M76" s="40"/>
      <c r="N76" s="40"/>
    </row>
    <row r="77" spans="1:14">
      <c r="A77" s="4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40"/>
      <c r="N77" s="40"/>
    </row>
    <row r="78" spans="1:14">
      <c r="A78" s="41" t="s">
        <v>147</v>
      </c>
      <c r="B78" s="12" t="s">
        <v>1638</v>
      </c>
      <c r="C78" s="12" t="s">
        <v>1312</v>
      </c>
      <c r="D78" s="12" t="s">
        <v>1312</v>
      </c>
      <c r="E78" s="12" t="s">
        <v>1312</v>
      </c>
      <c r="F78" s="12" t="s">
        <v>1312</v>
      </c>
      <c r="G78" s="12"/>
      <c r="H78" s="12"/>
      <c r="I78" s="15"/>
      <c r="J78" s="15">
        <v>8312</v>
      </c>
      <c r="K78" s="12" t="s">
        <v>1313</v>
      </c>
      <c r="L78" s="15">
        <f>SUM(B78:J79)</f>
        <v>57821</v>
      </c>
      <c r="M78" s="40"/>
      <c r="N78" s="40"/>
    </row>
    <row r="79" spans="1:14">
      <c r="A79" s="40"/>
      <c r="B79" s="15">
        <v>17940</v>
      </c>
      <c r="C79" s="15">
        <v>27145</v>
      </c>
      <c r="D79" s="15">
        <v>1999</v>
      </c>
      <c r="E79" s="15">
        <v>1575</v>
      </c>
      <c r="F79" s="15">
        <v>850</v>
      </c>
      <c r="G79" s="15"/>
      <c r="H79" s="15"/>
      <c r="I79" s="15"/>
      <c r="J79" s="15"/>
      <c r="K79" s="12"/>
      <c r="L79" s="15"/>
      <c r="M79" s="40"/>
      <c r="N79" s="40"/>
    </row>
    <row r="80" spans="1:14">
      <c r="A80" s="40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40"/>
      <c r="N80" s="40"/>
    </row>
    <row r="81" spans="1:14">
      <c r="A81" s="51" t="s">
        <v>152</v>
      </c>
      <c r="B81" s="32" t="s">
        <v>1108</v>
      </c>
      <c r="C81" s="32" t="s">
        <v>1639</v>
      </c>
      <c r="D81" s="32" t="s">
        <v>1108</v>
      </c>
      <c r="E81" s="32" t="s">
        <v>1108</v>
      </c>
      <c r="F81" s="32" t="s">
        <v>1798</v>
      </c>
      <c r="G81" s="32"/>
      <c r="H81" s="32"/>
      <c r="I81" s="29" t="s">
        <v>1641</v>
      </c>
      <c r="J81" s="29">
        <v>4561</v>
      </c>
      <c r="K81" s="32" t="s">
        <v>1640</v>
      </c>
      <c r="L81" s="15">
        <f>SUM(B81:J82)</f>
        <v>24834</v>
      </c>
      <c r="M81" s="40"/>
      <c r="N81" s="40"/>
    </row>
    <row r="82" spans="1:14">
      <c r="A82" s="50"/>
      <c r="B82" s="29">
        <v>13409</v>
      </c>
      <c r="C82" s="29">
        <v>4066</v>
      </c>
      <c r="D82" s="29">
        <v>302</v>
      </c>
      <c r="E82" s="29">
        <v>307</v>
      </c>
      <c r="F82" s="29">
        <v>1851</v>
      </c>
      <c r="G82" s="29"/>
      <c r="H82" s="29"/>
      <c r="I82" s="29">
        <v>338</v>
      </c>
      <c r="J82" s="29"/>
      <c r="K82" s="32"/>
      <c r="L82" s="15"/>
      <c r="M82" s="40"/>
      <c r="N82" s="40"/>
    </row>
    <row r="83" spans="1:14">
      <c r="A83" s="40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40"/>
      <c r="N83" s="40"/>
    </row>
    <row r="84" spans="1:14">
      <c r="A84" s="41" t="s">
        <v>156</v>
      </c>
      <c r="B84" s="12" t="s">
        <v>1110</v>
      </c>
      <c r="C84" s="12"/>
      <c r="D84" s="12"/>
      <c r="E84" s="12"/>
      <c r="F84" s="12" t="s">
        <v>1110</v>
      </c>
      <c r="G84" s="12"/>
      <c r="H84" s="12"/>
      <c r="I84" s="15"/>
      <c r="J84" s="15">
        <v>16090</v>
      </c>
      <c r="K84" s="12" t="s">
        <v>1113</v>
      </c>
      <c r="L84" s="15">
        <f>SUM(B84:J85)</f>
        <v>38908</v>
      </c>
      <c r="M84" s="40"/>
      <c r="N84" s="40"/>
    </row>
    <row r="85" spans="1:14">
      <c r="A85" s="40"/>
      <c r="B85" s="15">
        <v>21287</v>
      </c>
      <c r="C85" s="15"/>
      <c r="D85" s="15"/>
      <c r="E85" s="15"/>
      <c r="F85" s="15">
        <v>1531</v>
      </c>
      <c r="G85" s="15"/>
      <c r="H85" s="15"/>
      <c r="I85" s="15"/>
      <c r="J85" s="15"/>
      <c r="K85" s="12"/>
      <c r="L85" s="15"/>
      <c r="M85" s="40"/>
      <c r="N85" s="40"/>
    </row>
    <row r="86" spans="1:14">
      <c r="A86" s="40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40"/>
      <c r="N86" s="40"/>
    </row>
    <row r="87" spans="1:14">
      <c r="A87" s="51" t="s">
        <v>163</v>
      </c>
      <c r="B87" s="32" t="s">
        <v>164</v>
      </c>
      <c r="C87" s="32"/>
      <c r="D87" s="32"/>
      <c r="E87" s="32"/>
      <c r="F87" s="32" t="s">
        <v>789</v>
      </c>
      <c r="G87" s="32"/>
      <c r="H87" s="32"/>
      <c r="I87" s="29"/>
      <c r="J87" s="29">
        <v>15750</v>
      </c>
      <c r="K87" s="32" t="s">
        <v>1476</v>
      </c>
      <c r="L87" s="15">
        <f>SUM(B87:J88)</f>
        <v>45981</v>
      </c>
      <c r="M87" s="40"/>
      <c r="N87" s="40"/>
    </row>
    <row r="88" spans="1:14">
      <c r="A88" s="50"/>
      <c r="B88" s="29">
        <v>28995</v>
      </c>
      <c r="C88" s="29"/>
      <c r="D88" s="29"/>
      <c r="E88" s="29"/>
      <c r="F88" s="29">
        <v>1236</v>
      </c>
      <c r="G88" s="29"/>
      <c r="H88" s="29"/>
      <c r="I88" s="29"/>
      <c r="J88" s="29"/>
      <c r="K88" s="32"/>
      <c r="L88" s="15"/>
      <c r="M88" s="40"/>
      <c r="N88" s="40"/>
    </row>
    <row r="89" spans="1:14">
      <c r="A89" s="40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40"/>
      <c r="N89" s="40"/>
    </row>
    <row r="90" spans="1:14">
      <c r="A90" s="41" t="s">
        <v>168</v>
      </c>
      <c r="B90" s="12" t="s">
        <v>1642</v>
      </c>
      <c r="C90" s="12"/>
      <c r="D90" s="12"/>
      <c r="E90" s="12"/>
      <c r="F90" s="12" t="s">
        <v>278</v>
      </c>
      <c r="G90" s="12"/>
      <c r="H90" s="12"/>
      <c r="I90" s="15"/>
      <c r="J90" s="15">
        <v>11686</v>
      </c>
      <c r="K90" s="12" t="s">
        <v>1643</v>
      </c>
      <c r="L90" s="15">
        <f>SUM(B90:J91)</f>
        <v>31572</v>
      </c>
      <c r="M90" s="40"/>
      <c r="N90" s="40"/>
    </row>
    <row r="91" spans="1:14">
      <c r="A91" s="40"/>
      <c r="B91" s="15">
        <v>18926</v>
      </c>
      <c r="C91" s="15"/>
      <c r="D91" s="15"/>
      <c r="E91" s="15"/>
      <c r="F91" s="15">
        <v>960</v>
      </c>
      <c r="G91" s="15"/>
      <c r="H91" s="15"/>
      <c r="I91" s="15"/>
      <c r="J91" s="15"/>
      <c r="K91" s="12"/>
      <c r="L91" s="15"/>
      <c r="M91" s="40"/>
      <c r="N91" s="40"/>
    </row>
    <row r="92" spans="1:14">
      <c r="A92" s="40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40"/>
      <c r="N92" s="40"/>
    </row>
    <row r="93" spans="1:14">
      <c r="A93" s="49" t="s">
        <v>174</v>
      </c>
      <c r="B93" s="32" t="s">
        <v>1316</v>
      </c>
      <c r="C93" s="32" t="s">
        <v>1644</v>
      </c>
      <c r="D93" s="32" t="s">
        <v>1644</v>
      </c>
      <c r="E93" s="32" t="s">
        <v>1440</v>
      </c>
      <c r="F93" s="32" t="s">
        <v>1440</v>
      </c>
      <c r="G93" s="32"/>
      <c r="H93" s="32"/>
      <c r="I93" s="32"/>
      <c r="J93" s="29">
        <v>6768</v>
      </c>
      <c r="K93" s="32" t="s">
        <v>1318</v>
      </c>
      <c r="L93" s="15">
        <f>SUM(B93:J94)</f>
        <v>47537</v>
      </c>
      <c r="M93" s="40"/>
      <c r="N93" s="40"/>
    </row>
    <row r="94" spans="1:14">
      <c r="A94" s="50"/>
      <c r="B94" s="29">
        <v>24633</v>
      </c>
      <c r="C94" s="29">
        <v>13101</v>
      </c>
      <c r="D94" s="29">
        <v>1471</v>
      </c>
      <c r="E94" s="29">
        <v>841</v>
      </c>
      <c r="F94" s="29">
        <v>723</v>
      </c>
      <c r="G94" s="29"/>
      <c r="H94" s="29"/>
      <c r="I94" s="29"/>
      <c r="J94" s="29"/>
      <c r="K94" s="32"/>
      <c r="L94" s="15"/>
      <c r="M94" s="40"/>
      <c r="N94" s="40"/>
    </row>
    <row r="95" spans="1:14">
      <c r="A95" s="40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40"/>
      <c r="N95" s="40"/>
    </row>
    <row r="96" spans="1:14">
      <c r="A96" s="38" t="s">
        <v>176</v>
      </c>
      <c r="B96" s="12" t="s">
        <v>1119</v>
      </c>
      <c r="C96" s="12"/>
      <c r="D96" s="12"/>
      <c r="E96" s="12"/>
      <c r="F96" s="12"/>
      <c r="G96" s="12"/>
      <c r="H96" s="12"/>
      <c r="I96" s="15"/>
      <c r="J96" s="15">
        <v>14988</v>
      </c>
      <c r="K96" s="12" t="s">
        <v>1121</v>
      </c>
      <c r="L96" s="15">
        <f>SUM(B96:J97)</f>
        <v>35686</v>
      </c>
      <c r="M96" s="40"/>
      <c r="N96" s="40"/>
    </row>
    <row r="97" spans="1:14">
      <c r="A97" s="40"/>
      <c r="B97" s="15">
        <v>20698</v>
      </c>
      <c r="C97" s="15"/>
      <c r="D97" s="15"/>
      <c r="E97" s="15"/>
      <c r="F97" s="15"/>
      <c r="G97" s="15"/>
      <c r="H97" s="15"/>
      <c r="I97" s="15"/>
      <c r="J97" s="15"/>
      <c r="K97" s="12"/>
      <c r="L97" s="15"/>
      <c r="M97" s="40"/>
      <c r="N97" s="40"/>
    </row>
    <row r="98" spans="1:14">
      <c r="A98" s="40"/>
      <c r="B98" s="15"/>
      <c r="C98" s="15"/>
      <c r="D98" s="15"/>
      <c r="E98" s="15"/>
      <c r="F98" s="15"/>
      <c r="G98" s="15"/>
      <c r="H98" s="15"/>
      <c r="I98" s="15"/>
      <c r="J98" s="15"/>
      <c r="K98" s="12"/>
      <c r="L98" s="15"/>
      <c r="M98" s="40"/>
      <c r="N98" s="40"/>
    </row>
    <row r="99" spans="1:14">
      <c r="A99" s="51" t="s">
        <v>179</v>
      </c>
      <c r="B99" s="32" t="s">
        <v>1458</v>
      </c>
      <c r="C99" s="32" t="s">
        <v>1645</v>
      </c>
      <c r="D99" s="32"/>
      <c r="E99" s="32" t="s">
        <v>1458</v>
      </c>
      <c r="F99" s="32"/>
      <c r="G99" s="32"/>
      <c r="H99" s="32"/>
      <c r="I99" s="32"/>
      <c r="J99" s="29">
        <v>9679</v>
      </c>
      <c r="K99" s="29" t="s">
        <v>1646</v>
      </c>
      <c r="L99" s="15">
        <f>SUM(B99:J100)</f>
        <v>43526</v>
      </c>
      <c r="M99" s="40"/>
      <c r="N99" s="40"/>
    </row>
    <row r="100" spans="1:14">
      <c r="A100" s="50"/>
      <c r="B100" s="29">
        <v>22972</v>
      </c>
      <c r="C100" s="29">
        <v>10173</v>
      </c>
      <c r="D100" s="29"/>
      <c r="E100" s="29">
        <v>702</v>
      </c>
      <c r="F100" s="29"/>
      <c r="G100" s="29"/>
      <c r="H100" s="29"/>
      <c r="I100" s="29"/>
      <c r="J100" s="29"/>
      <c r="K100" s="32"/>
      <c r="L100" s="15"/>
      <c r="M100" s="40"/>
      <c r="N100" s="40"/>
    </row>
    <row r="101" spans="1:14">
      <c r="A101" s="50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15"/>
      <c r="M101" s="40"/>
      <c r="N101" s="40"/>
    </row>
    <row r="102" spans="1:14" ht="17.25">
      <c r="A102" s="51" t="s">
        <v>1790</v>
      </c>
      <c r="B102" s="29" t="s">
        <v>256</v>
      </c>
      <c r="C102" s="29" t="s">
        <v>1647</v>
      </c>
      <c r="D102" s="29" t="s">
        <v>1647</v>
      </c>
      <c r="E102" s="29" t="s">
        <v>1647</v>
      </c>
      <c r="F102" s="29" t="s">
        <v>256</v>
      </c>
      <c r="G102" s="29"/>
      <c r="H102" s="29"/>
      <c r="I102" s="29"/>
      <c r="J102" s="29">
        <v>90</v>
      </c>
      <c r="K102" s="29" t="s">
        <v>257</v>
      </c>
      <c r="L102" s="15">
        <f>SUM(B102:J103)</f>
        <v>7095</v>
      </c>
      <c r="M102" s="40"/>
      <c r="N102" s="40"/>
    </row>
    <row r="103" spans="1:14">
      <c r="A103" s="50"/>
      <c r="B103" s="29">
        <v>3896</v>
      </c>
      <c r="C103" s="29">
        <v>2242</v>
      </c>
      <c r="D103" s="29">
        <v>356</v>
      </c>
      <c r="E103" s="29">
        <v>219</v>
      </c>
      <c r="F103" s="29">
        <v>292</v>
      </c>
      <c r="G103" s="29"/>
      <c r="H103" s="29"/>
      <c r="I103" s="29"/>
      <c r="J103" s="29"/>
      <c r="K103" s="29"/>
      <c r="L103" s="15"/>
      <c r="M103" s="40"/>
      <c r="N103" s="40"/>
    </row>
    <row r="104" spans="1:14">
      <c r="A104" s="40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40"/>
      <c r="N104" s="40"/>
    </row>
    <row r="105" spans="1:14">
      <c r="A105" s="41" t="s">
        <v>181</v>
      </c>
      <c r="B105" s="12" t="s">
        <v>790</v>
      </c>
      <c r="C105" s="12"/>
      <c r="D105" s="12"/>
      <c r="E105" s="12"/>
      <c r="F105" s="12" t="s">
        <v>790</v>
      </c>
      <c r="G105" s="12"/>
      <c r="H105" s="12"/>
      <c r="I105" s="15"/>
      <c r="J105" s="15">
        <v>9618</v>
      </c>
      <c r="K105" s="15" t="s">
        <v>792</v>
      </c>
      <c r="L105" s="15">
        <f>SUM(B105:J106)</f>
        <v>37889</v>
      </c>
      <c r="M105" s="40"/>
      <c r="N105" s="40"/>
    </row>
    <row r="106" spans="1:14">
      <c r="A106" s="40"/>
      <c r="B106" s="15">
        <v>27540</v>
      </c>
      <c r="C106" s="15"/>
      <c r="D106" s="15"/>
      <c r="E106" s="15"/>
      <c r="F106" s="15">
        <v>731</v>
      </c>
      <c r="G106" s="15"/>
      <c r="H106" s="15"/>
      <c r="I106" s="15"/>
      <c r="J106" s="15"/>
      <c r="K106" s="15"/>
      <c r="L106" s="15"/>
      <c r="M106" s="40"/>
      <c r="N106" s="40"/>
    </row>
    <row r="107" spans="1:14">
      <c r="A107" s="40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40"/>
      <c r="N107" s="40"/>
    </row>
    <row r="108" spans="1:14">
      <c r="A108" s="52" t="s">
        <v>4</v>
      </c>
      <c r="B108" s="32" t="s">
        <v>793</v>
      </c>
      <c r="C108" s="32"/>
      <c r="D108" s="32"/>
      <c r="E108" s="32"/>
      <c r="F108" s="32"/>
      <c r="G108" s="32"/>
      <c r="H108" s="32"/>
      <c r="I108" s="32"/>
      <c r="J108" s="29">
        <v>14948</v>
      </c>
      <c r="K108" s="32" t="s">
        <v>794</v>
      </c>
      <c r="L108" s="15">
        <f>SUM(B108:J109)</f>
        <v>33159</v>
      </c>
      <c r="M108" s="40"/>
      <c r="N108" s="40"/>
    </row>
    <row r="109" spans="1:14">
      <c r="A109" s="53"/>
      <c r="B109" s="29">
        <v>18211</v>
      </c>
      <c r="C109" s="29"/>
      <c r="D109" s="29"/>
      <c r="E109" s="29"/>
      <c r="F109" s="29"/>
      <c r="G109" s="29"/>
      <c r="H109" s="29"/>
      <c r="I109" s="29"/>
      <c r="J109" s="29"/>
      <c r="K109" s="32"/>
      <c r="L109" s="15"/>
      <c r="M109" s="40"/>
      <c r="N109" s="40"/>
    </row>
    <row r="110" spans="1:14">
      <c r="A110" s="43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40"/>
      <c r="N110" s="40"/>
    </row>
    <row r="111" spans="1:14">
      <c r="A111" s="42" t="s">
        <v>12</v>
      </c>
      <c r="B111" s="12" t="s">
        <v>223</v>
      </c>
      <c r="C111" s="12"/>
      <c r="D111" s="12"/>
      <c r="E111" s="12" t="s">
        <v>1481</v>
      </c>
      <c r="F111" s="12" t="s">
        <v>223</v>
      </c>
      <c r="G111" s="12"/>
      <c r="H111" s="12"/>
      <c r="I111" s="12"/>
      <c r="J111" s="15">
        <v>10003</v>
      </c>
      <c r="K111" s="12" t="s">
        <v>1482</v>
      </c>
      <c r="L111" s="15">
        <f>SUM(B111:J112)</f>
        <v>32226</v>
      </c>
      <c r="M111" s="40"/>
      <c r="N111" s="40"/>
    </row>
    <row r="112" spans="1:14">
      <c r="A112" s="43"/>
      <c r="B112" s="15">
        <v>21107</v>
      </c>
      <c r="C112" s="15"/>
      <c r="D112" s="15"/>
      <c r="E112" s="15">
        <v>511</v>
      </c>
      <c r="F112" s="15">
        <v>605</v>
      </c>
      <c r="G112" s="15"/>
      <c r="H112" s="15"/>
      <c r="I112" s="15"/>
      <c r="J112" s="15"/>
      <c r="K112" s="12"/>
      <c r="L112" s="15"/>
      <c r="M112" s="40"/>
      <c r="N112" s="40"/>
    </row>
    <row r="113" spans="1:14">
      <c r="A113" s="43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40"/>
      <c r="N113" s="40"/>
    </row>
    <row r="114" spans="1:14">
      <c r="A114" s="52" t="s">
        <v>19</v>
      </c>
      <c r="B114" s="32" t="s">
        <v>20</v>
      </c>
      <c r="C114" s="32" t="s">
        <v>559</v>
      </c>
      <c r="D114" s="32" t="s">
        <v>559</v>
      </c>
      <c r="E114" s="32"/>
      <c r="F114" s="32" t="s">
        <v>1441</v>
      </c>
      <c r="G114" s="32"/>
      <c r="H114" s="32"/>
      <c r="I114" s="32"/>
      <c r="J114" s="29">
        <v>7049</v>
      </c>
      <c r="K114" s="32" t="s">
        <v>21</v>
      </c>
      <c r="L114" s="15">
        <f>SUM(B114:J115)</f>
        <v>35183</v>
      </c>
      <c r="M114" s="40"/>
      <c r="N114" s="40"/>
    </row>
    <row r="115" spans="1:14">
      <c r="A115" s="53"/>
      <c r="B115" s="29">
        <v>26219</v>
      </c>
      <c r="C115" s="29">
        <v>1049</v>
      </c>
      <c r="D115" s="29">
        <v>141</v>
      </c>
      <c r="E115" s="29"/>
      <c r="F115" s="29">
        <v>725</v>
      </c>
      <c r="G115" s="29"/>
      <c r="H115" s="29"/>
      <c r="I115" s="29"/>
      <c r="J115" s="29"/>
      <c r="K115" s="32"/>
      <c r="L115" s="15"/>
      <c r="M115" s="40"/>
      <c r="N115" s="40"/>
    </row>
    <row r="116" spans="1:14">
      <c r="A116" s="43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40"/>
      <c r="N116" s="40"/>
    </row>
    <row r="117" spans="1:14">
      <c r="A117" s="42" t="s">
        <v>30</v>
      </c>
      <c r="B117" s="12" t="s">
        <v>795</v>
      </c>
      <c r="C117" s="12"/>
      <c r="D117" s="12"/>
      <c r="E117" s="12"/>
      <c r="F117" s="12" t="s">
        <v>796</v>
      </c>
      <c r="G117" s="12"/>
      <c r="H117" s="12"/>
      <c r="I117" s="12"/>
      <c r="J117" s="15">
        <v>10985</v>
      </c>
      <c r="K117" s="12" t="s">
        <v>797</v>
      </c>
      <c r="L117" s="15">
        <f>SUM(B117:J118)</f>
        <v>41119</v>
      </c>
      <c r="M117" s="40"/>
      <c r="N117" s="40"/>
    </row>
    <row r="118" spans="1:14">
      <c r="A118" s="43"/>
      <c r="B118" s="15">
        <v>29103</v>
      </c>
      <c r="C118" s="15"/>
      <c r="D118" s="15"/>
      <c r="E118" s="15"/>
      <c r="F118" s="15">
        <v>1031</v>
      </c>
      <c r="G118" s="15"/>
      <c r="H118" s="15"/>
      <c r="I118" s="12"/>
      <c r="J118" s="15"/>
      <c r="K118" s="12"/>
      <c r="L118" s="15"/>
      <c r="M118" s="40"/>
      <c r="N118" s="40"/>
    </row>
    <row r="119" spans="1:14">
      <c r="A119" s="43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40"/>
      <c r="N119" s="40"/>
    </row>
    <row r="120" spans="1:14">
      <c r="A120" s="52" t="s">
        <v>34</v>
      </c>
      <c r="B120" s="32" t="s">
        <v>1483</v>
      </c>
      <c r="C120" s="32"/>
      <c r="D120" s="32"/>
      <c r="E120" s="32"/>
      <c r="F120" s="32" t="s">
        <v>1605</v>
      </c>
      <c r="G120" s="32"/>
      <c r="H120" s="32"/>
      <c r="I120" s="32"/>
      <c r="J120" s="29">
        <v>9647</v>
      </c>
      <c r="K120" s="32" t="s">
        <v>1484</v>
      </c>
      <c r="L120" s="15">
        <f>SUM(B120:J121)</f>
        <v>25581</v>
      </c>
      <c r="M120" s="40"/>
      <c r="N120" s="40"/>
    </row>
    <row r="121" spans="1:14">
      <c r="A121" s="53"/>
      <c r="B121" s="29">
        <v>15202</v>
      </c>
      <c r="C121" s="29"/>
      <c r="D121" s="29"/>
      <c r="E121" s="29"/>
      <c r="F121" s="29">
        <v>732</v>
      </c>
      <c r="G121" s="29"/>
      <c r="H121" s="29"/>
      <c r="I121" s="32"/>
      <c r="J121" s="29"/>
      <c r="K121" s="32"/>
      <c r="L121" s="15"/>
      <c r="M121" s="40"/>
      <c r="N121" s="40"/>
    </row>
    <row r="122" spans="1:14">
      <c r="A122" s="43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40"/>
      <c r="N122" s="40"/>
    </row>
    <row r="123" spans="1:14">
      <c r="A123" s="42" t="s">
        <v>41</v>
      </c>
      <c r="B123" s="12" t="s">
        <v>42</v>
      </c>
      <c r="C123" s="12"/>
      <c r="D123" s="12"/>
      <c r="E123" s="12"/>
      <c r="F123" s="12" t="s">
        <v>957</v>
      </c>
      <c r="G123" s="12"/>
      <c r="H123" s="12"/>
      <c r="I123" s="12"/>
      <c r="J123" s="15">
        <v>9934</v>
      </c>
      <c r="K123" s="12" t="s">
        <v>43</v>
      </c>
      <c r="L123" s="15">
        <f>SUM(B123:J124)</f>
        <v>25952</v>
      </c>
      <c r="M123" s="40"/>
      <c r="N123" s="40"/>
    </row>
    <row r="124" spans="1:14">
      <c r="A124" s="43"/>
      <c r="B124" s="15">
        <v>15495</v>
      </c>
      <c r="C124" s="15"/>
      <c r="D124" s="15"/>
      <c r="E124" s="15"/>
      <c r="F124" s="15">
        <v>523</v>
      </c>
      <c r="G124" s="15"/>
      <c r="H124" s="15"/>
      <c r="I124" s="12"/>
      <c r="J124" s="15"/>
      <c r="K124" s="12"/>
      <c r="L124" s="15"/>
      <c r="M124" s="40"/>
      <c r="N124" s="40"/>
    </row>
    <row r="125" spans="1:14">
      <c r="A125" s="43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40"/>
      <c r="N125" s="40"/>
    </row>
    <row r="126" spans="1:14">
      <c r="A126" s="42" t="s">
        <v>47</v>
      </c>
      <c r="B126" s="12" t="s">
        <v>1321</v>
      </c>
      <c r="C126" s="12"/>
      <c r="D126" s="12"/>
      <c r="E126" s="12"/>
      <c r="F126" s="12" t="s">
        <v>1321</v>
      </c>
      <c r="G126" s="12"/>
      <c r="H126" s="12"/>
      <c r="I126" s="12"/>
      <c r="J126" s="15">
        <v>12312</v>
      </c>
      <c r="K126" s="12" t="s">
        <v>1322</v>
      </c>
      <c r="L126" s="15">
        <f>SUM(B126:J127)</f>
        <v>34504</v>
      </c>
      <c r="M126" s="40"/>
      <c r="N126" s="40"/>
    </row>
    <row r="127" spans="1:14">
      <c r="A127" s="43"/>
      <c r="B127" s="15">
        <v>21013</v>
      </c>
      <c r="C127" s="15"/>
      <c r="D127" s="15"/>
      <c r="E127" s="15"/>
      <c r="F127" s="15">
        <v>1179</v>
      </c>
      <c r="G127" s="15"/>
      <c r="H127" s="15"/>
      <c r="I127" s="15"/>
      <c r="J127" s="15"/>
      <c r="K127" s="12"/>
      <c r="L127" s="15"/>
      <c r="M127" s="40"/>
      <c r="N127" s="40"/>
    </row>
    <row r="128" spans="1:14">
      <c r="A128" s="43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40"/>
      <c r="N128" s="40"/>
    </row>
    <row r="129" spans="1:14">
      <c r="A129" s="42" t="s">
        <v>53</v>
      </c>
      <c r="B129" s="12" t="s">
        <v>54</v>
      </c>
      <c r="C129" s="12"/>
      <c r="D129" s="12"/>
      <c r="E129" s="12"/>
      <c r="F129" s="12" t="s">
        <v>302</v>
      </c>
      <c r="G129" s="12"/>
      <c r="H129" s="12"/>
      <c r="I129" s="15"/>
      <c r="J129" s="15">
        <v>9389</v>
      </c>
      <c r="K129" s="12" t="s">
        <v>55</v>
      </c>
      <c r="L129" s="15">
        <f>SUM(B129:J130)</f>
        <v>27926</v>
      </c>
      <c r="M129" s="40"/>
      <c r="N129" s="40"/>
    </row>
    <row r="130" spans="1:14">
      <c r="A130" s="43"/>
      <c r="B130" s="15">
        <v>17525</v>
      </c>
      <c r="C130" s="15"/>
      <c r="D130" s="15"/>
      <c r="E130" s="15"/>
      <c r="F130" s="15">
        <v>1012</v>
      </c>
      <c r="G130" s="15"/>
      <c r="H130" s="15"/>
      <c r="I130" s="15"/>
      <c r="J130" s="15"/>
      <c r="K130" s="12"/>
      <c r="L130" s="15"/>
      <c r="M130" s="40"/>
      <c r="N130" s="40"/>
    </row>
    <row r="131" spans="1:14">
      <c r="A131" s="43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40"/>
      <c r="N131" s="40"/>
    </row>
    <row r="132" spans="1:14">
      <c r="A132" s="52" t="s">
        <v>61</v>
      </c>
      <c r="B132" s="32" t="s">
        <v>1323</v>
      </c>
      <c r="C132" s="32" t="s">
        <v>1323</v>
      </c>
      <c r="D132" s="32" t="s">
        <v>1323</v>
      </c>
      <c r="E132" s="32" t="s">
        <v>1323</v>
      </c>
      <c r="F132" s="32"/>
      <c r="G132" s="32"/>
      <c r="H132" s="32"/>
      <c r="I132" s="32"/>
      <c r="J132" s="29">
        <v>7037</v>
      </c>
      <c r="K132" s="32" t="s">
        <v>1324</v>
      </c>
      <c r="L132" s="15">
        <f>SUM(B132:J133)</f>
        <v>27388</v>
      </c>
      <c r="M132" s="40"/>
      <c r="N132" s="40"/>
    </row>
    <row r="133" spans="1:14">
      <c r="A133" s="53"/>
      <c r="B133" s="29">
        <v>12776</v>
      </c>
      <c r="C133" s="29">
        <v>6464</v>
      </c>
      <c r="D133" s="29">
        <v>761</v>
      </c>
      <c r="E133" s="29">
        <v>350</v>
      </c>
      <c r="F133" s="29"/>
      <c r="G133" s="29"/>
      <c r="H133" s="29"/>
      <c r="I133" s="29"/>
      <c r="J133" s="29"/>
      <c r="K133" s="32"/>
      <c r="L133" s="15"/>
      <c r="M133" s="40"/>
      <c r="N133" s="40"/>
    </row>
    <row r="134" spans="1:14">
      <c r="A134" s="43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40"/>
      <c r="N134" s="40"/>
    </row>
    <row r="135" spans="1:14">
      <c r="A135" s="42" t="s">
        <v>65</v>
      </c>
      <c r="B135" s="12" t="s">
        <v>1325</v>
      </c>
      <c r="C135" s="12" t="s">
        <v>1648</v>
      </c>
      <c r="D135" s="12"/>
      <c r="E135" s="12"/>
      <c r="F135" s="12" t="s">
        <v>1325</v>
      </c>
      <c r="G135" s="12"/>
      <c r="H135" s="12"/>
      <c r="I135" s="12"/>
      <c r="J135" s="15">
        <v>4683</v>
      </c>
      <c r="K135" s="12" t="s">
        <v>1326</v>
      </c>
      <c r="L135" s="15">
        <f>SUM(B135:J136)</f>
        <v>19064</v>
      </c>
      <c r="M135" s="40"/>
      <c r="N135" s="40"/>
    </row>
    <row r="136" spans="1:14">
      <c r="A136" s="43"/>
      <c r="B136" s="15">
        <v>11929</v>
      </c>
      <c r="C136" s="15">
        <v>1966</v>
      </c>
      <c r="D136" s="15"/>
      <c r="E136" s="15"/>
      <c r="F136" s="15">
        <v>486</v>
      </c>
      <c r="G136" s="15"/>
      <c r="H136" s="15"/>
      <c r="I136" s="12"/>
      <c r="J136" s="15"/>
      <c r="K136" s="12"/>
      <c r="L136" s="15"/>
      <c r="M136" s="40"/>
      <c r="N136" s="40"/>
    </row>
    <row r="137" spans="1:14">
      <c r="A137" s="43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40"/>
      <c r="N137" s="40"/>
    </row>
    <row r="138" spans="1:14">
      <c r="A138" s="52" t="s">
        <v>71</v>
      </c>
      <c r="B138" s="32" t="s">
        <v>1214</v>
      </c>
      <c r="C138" s="32" t="s">
        <v>1649</v>
      </c>
      <c r="D138" s="32" t="s">
        <v>1649</v>
      </c>
      <c r="E138" s="32"/>
      <c r="F138" s="32"/>
      <c r="G138" s="32"/>
      <c r="H138" s="32"/>
      <c r="I138" s="32"/>
      <c r="J138" s="29">
        <v>9460</v>
      </c>
      <c r="K138" s="32" t="s">
        <v>1486</v>
      </c>
      <c r="L138" s="15">
        <f>SUM(B138:J139)</f>
        <v>36002</v>
      </c>
      <c r="M138" s="40"/>
      <c r="N138" s="40"/>
    </row>
    <row r="139" spans="1:14">
      <c r="A139" s="53"/>
      <c r="B139" s="29">
        <v>25204</v>
      </c>
      <c r="C139" s="29">
        <v>1196</v>
      </c>
      <c r="D139" s="29">
        <v>142</v>
      </c>
      <c r="E139" s="29"/>
      <c r="F139" s="29"/>
      <c r="G139" s="29"/>
      <c r="H139" s="29"/>
      <c r="I139" s="32"/>
      <c r="J139" s="29"/>
      <c r="K139" s="32"/>
      <c r="L139" s="15"/>
      <c r="M139" s="40"/>
      <c r="N139" s="40"/>
    </row>
    <row r="140" spans="1:14">
      <c r="A140" s="43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40"/>
      <c r="N140" s="40"/>
    </row>
    <row r="141" spans="1:14">
      <c r="A141" s="42" t="s">
        <v>75</v>
      </c>
      <c r="B141" s="12" t="s">
        <v>76</v>
      </c>
      <c r="C141" s="12" t="s">
        <v>1650</v>
      </c>
      <c r="D141" s="12" t="s">
        <v>1650</v>
      </c>
      <c r="E141" s="12"/>
      <c r="F141" s="12" t="s">
        <v>306</v>
      </c>
      <c r="G141" s="12"/>
      <c r="H141" s="12"/>
      <c r="I141" s="12"/>
      <c r="J141" s="15">
        <v>8842</v>
      </c>
      <c r="K141" s="12" t="s">
        <v>77</v>
      </c>
      <c r="L141" s="15">
        <f>SUM(B141:J142)</f>
        <v>38848</v>
      </c>
      <c r="M141" s="40"/>
      <c r="N141" s="40"/>
    </row>
    <row r="142" spans="1:14">
      <c r="A142" s="43"/>
      <c r="B142" s="15">
        <v>24564</v>
      </c>
      <c r="C142" s="15">
        <v>4096</v>
      </c>
      <c r="D142" s="15">
        <v>507</v>
      </c>
      <c r="E142" s="15"/>
      <c r="F142" s="15">
        <v>839</v>
      </c>
      <c r="G142" s="15"/>
      <c r="H142" s="15"/>
      <c r="I142" s="15"/>
      <c r="J142" s="15"/>
      <c r="K142" s="12"/>
      <c r="L142" s="15"/>
      <c r="M142" s="40"/>
      <c r="N142" s="40"/>
    </row>
    <row r="143" spans="1:14">
      <c r="A143" s="43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40"/>
      <c r="N143" s="40"/>
    </row>
    <row r="144" spans="1:14">
      <c r="A144" s="52" t="s">
        <v>82</v>
      </c>
      <c r="B144" s="32" t="s">
        <v>961</v>
      </c>
      <c r="C144" s="32" t="s">
        <v>858</v>
      </c>
      <c r="D144" s="32"/>
      <c r="E144" s="32"/>
      <c r="F144" s="32"/>
      <c r="G144" s="32"/>
      <c r="H144" s="32"/>
      <c r="I144" s="32"/>
      <c r="J144" s="29">
        <v>7707</v>
      </c>
      <c r="K144" s="32" t="s">
        <v>963</v>
      </c>
      <c r="L144" s="15">
        <f>SUM(B144:J145)</f>
        <v>31111</v>
      </c>
      <c r="M144" s="40"/>
      <c r="N144" s="40"/>
    </row>
    <row r="145" spans="1:14">
      <c r="A145" s="53"/>
      <c r="B145" s="29">
        <v>21798</v>
      </c>
      <c r="C145" s="29">
        <v>1606</v>
      </c>
      <c r="D145" s="29"/>
      <c r="E145" s="29"/>
      <c r="F145" s="29"/>
      <c r="G145" s="29"/>
      <c r="H145" s="29"/>
      <c r="I145" s="29"/>
      <c r="J145" s="29"/>
      <c r="K145" s="32"/>
      <c r="L145" s="15"/>
      <c r="M145" s="40"/>
      <c r="N145" s="40"/>
    </row>
    <row r="146" spans="1:14">
      <c r="A146" s="43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40"/>
      <c r="N146" s="40"/>
    </row>
    <row r="147" spans="1:14">
      <c r="A147" s="42" t="s">
        <v>85</v>
      </c>
      <c r="B147" s="12" t="s">
        <v>1651</v>
      </c>
      <c r="C147" s="12" t="s">
        <v>1448</v>
      </c>
      <c r="D147" s="12" t="s">
        <v>1448</v>
      </c>
      <c r="E147" s="12"/>
      <c r="F147" s="12" t="s">
        <v>1799</v>
      </c>
      <c r="G147" s="12"/>
      <c r="H147" s="12"/>
      <c r="I147" s="12"/>
      <c r="J147" s="15">
        <v>8062</v>
      </c>
      <c r="K147" s="12" t="s">
        <v>1652</v>
      </c>
      <c r="L147" s="15">
        <f>SUM(B147:J148)</f>
        <v>34525</v>
      </c>
      <c r="M147" s="40"/>
      <c r="N147" s="40"/>
    </row>
    <row r="148" spans="1:14">
      <c r="A148" s="43"/>
      <c r="B148" s="15">
        <v>23760</v>
      </c>
      <c r="C148" s="15">
        <v>1491</v>
      </c>
      <c r="D148" s="15">
        <v>405</v>
      </c>
      <c r="E148" s="15"/>
      <c r="F148" s="15">
        <v>807</v>
      </c>
      <c r="G148" s="15"/>
      <c r="H148" s="15"/>
      <c r="I148" s="15"/>
      <c r="J148" s="15"/>
      <c r="K148" s="12"/>
      <c r="L148" s="15"/>
      <c r="M148" s="40"/>
      <c r="N148" s="40"/>
    </row>
    <row r="149" spans="1:14">
      <c r="A149" s="43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40"/>
      <c r="N149" s="40"/>
    </row>
    <row r="150" spans="1:14" ht="17.25">
      <c r="A150" s="42" t="s">
        <v>1791</v>
      </c>
      <c r="B150" s="15" t="s">
        <v>801</v>
      </c>
      <c r="C150" s="15" t="s">
        <v>1441</v>
      </c>
      <c r="D150" s="15" t="s">
        <v>1441</v>
      </c>
      <c r="E150" s="15" t="s">
        <v>1155</v>
      </c>
      <c r="F150" s="15"/>
      <c r="G150" s="15"/>
      <c r="H150" s="15"/>
      <c r="I150" s="15"/>
      <c r="J150" s="15">
        <v>6312</v>
      </c>
      <c r="K150" s="15" t="s">
        <v>803</v>
      </c>
      <c r="L150" s="15">
        <f>SUM(B150:J151)</f>
        <v>17634</v>
      </c>
      <c r="M150" s="40"/>
      <c r="N150" s="40"/>
    </row>
    <row r="151" spans="1:14">
      <c r="A151" s="43"/>
      <c r="B151" s="15">
        <v>8411</v>
      </c>
      <c r="C151" s="15">
        <v>934</v>
      </c>
      <c r="D151" s="15">
        <v>159</v>
      </c>
      <c r="E151" s="15">
        <v>1818</v>
      </c>
      <c r="F151" s="15"/>
      <c r="G151" s="15"/>
      <c r="H151" s="15"/>
      <c r="I151" s="15"/>
      <c r="J151" s="15"/>
      <c r="K151" s="15"/>
      <c r="L151" s="15"/>
      <c r="M151" s="40"/>
      <c r="N151" s="40"/>
    </row>
    <row r="152" spans="1:14">
      <c r="A152" s="43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40"/>
      <c r="N152" s="40"/>
    </row>
    <row r="153" spans="1:14">
      <c r="A153" s="52" t="s">
        <v>90</v>
      </c>
      <c r="B153" s="32" t="s">
        <v>807</v>
      </c>
      <c r="C153" s="32"/>
      <c r="D153" s="32" t="s">
        <v>1653</v>
      </c>
      <c r="E153" s="32" t="s">
        <v>1654</v>
      </c>
      <c r="F153" s="32" t="s">
        <v>809</v>
      </c>
      <c r="G153" s="32"/>
      <c r="H153" s="32"/>
      <c r="I153" s="32"/>
      <c r="J153" s="29">
        <v>11743</v>
      </c>
      <c r="K153" s="32" t="s">
        <v>810</v>
      </c>
      <c r="L153" s="15">
        <f>SUM(B153:J154)</f>
        <v>37245</v>
      </c>
      <c r="M153" s="40"/>
      <c r="N153" s="40"/>
    </row>
    <row r="154" spans="1:14">
      <c r="A154" s="53"/>
      <c r="B154" s="29">
        <v>20554</v>
      </c>
      <c r="C154" s="29"/>
      <c r="D154" s="29">
        <v>1059</v>
      </c>
      <c r="E154" s="29">
        <v>1061</v>
      </c>
      <c r="F154" s="29">
        <v>2828</v>
      </c>
      <c r="G154" s="29"/>
      <c r="H154" s="29"/>
      <c r="I154" s="32"/>
      <c r="J154" s="29"/>
      <c r="K154" s="32"/>
      <c r="L154" s="15"/>
      <c r="M154" s="40"/>
      <c r="N154" s="40"/>
    </row>
    <row r="155" spans="1:14">
      <c r="A155" s="43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40"/>
      <c r="N155" s="40"/>
    </row>
    <row r="156" spans="1:14">
      <c r="A156" s="42" t="s">
        <v>93</v>
      </c>
      <c r="B156" s="12" t="s">
        <v>188</v>
      </c>
      <c r="C156" s="12" t="s">
        <v>1655</v>
      </c>
      <c r="D156" s="12" t="s">
        <v>1655</v>
      </c>
      <c r="E156" s="12" t="s">
        <v>1656</v>
      </c>
      <c r="F156" s="12"/>
      <c r="G156" s="12"/>
      <c r="H156" s="12"/>
      <c r="I156" s="12"/>
      <c r="J156" s="15">
        <v>6024</v>
      </c>
      <c r="K156" s="12" t="s">
        <v>199</v>
      </c>
      <c r="L156" s="15">
        <f>SUM(B156:J157)</f>
        <v>30051</v>
      </c>
      <c r="M156" s="40"/>
      <c r="N156" s="40"/>
    </row>
    <row r="157" spans="1:14">
      <c r="A157" s="43"/>
      <c r="B157" s="15">
        <v>16073</v>
      </c>
      <c r="C157" s="15">
        <v>7142</v>
      </c>
      <c r="D157" s="15">
        <v>568</v>
      </c>
      <c r="E157" s="15">
        <v>244</v>
      </c>
      <c r="F157" s="15"/>
      <c r="G157" s="15"/>
      <c r="H157" s="15"/>
      <c r="I157" s="15"/>
      <c r="J157" s="15"/>
      <c r="K157" s="12"/>
      <c r="L157" s="15"/>
      <c r="M157" s="40"/>
      <c r="N157" s="40"/>
    </row>
    <row r="158" spans="1:14">
      <c r="A158" s="43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40"/>
      <c r="N158" s="40"/>
    </row>
    <row r="159" spans="1:14">
      <c r="A159" s="52" t="s">
        <v>97</v>
      </c>
      <c r="B159" s="32" t="s">
        <v>1458</v>
      </c>
      <c r="C159" s="32" t="s">
        <v>1657</v>
      </c>
      <c r="D159" s="32" t="s">
        <v>1657</v>
      </c>
      <c r="E159" s="32"/>
      <c r="F159" s="32" t="s">
        <v>1458</v>
      </c>
      <c r="G159" s="32"/>
      <c r="H159" s="32"/>
      <c r="I159" s="32"/>
      <c r="J159" s="29">
        <v>7814</v>
      </c>
      <c r="K159" s="32" t="s">
        <v>1658</v>
      </c>
      <c r="L159" s="15">
        <f>SUM(B159:J160)</f>
        <v>35015</v>
      </c>
      <c r="M159" s="40"/>
      <c r="N159" s="40"/>
    </row>
    <row r="160" spans="1:14">
      <c r="A160" s="53"/>
      <c r="B160" s="29">
        <v>15706</v>
      </c>
      <c r="C160" s="29">
        <v>9843</v>
      </c>
      <c r="D160" s="29">
        <v>879</v>
      </c>
      <c r="E160" s="29"/>
      <c r="F160" s="29">
        <v>773</v>
      </c>
      <c r="G160" s="29"/>
      <c r="H160" s="29"/>
      <c r="I160" s="32"/>
      <c r="J160" s="29"/>
      <c r="K160" s="32"/>
      <c r="L160" s="15"/>
      <c r="M160" s="40"/>
      <c r="N160" s="40"/>
    </row>
    <row r="161" spans="1:14">
      <c r="A161" s="43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40"/>
      <c r="N161" s="40"/>
    </row>
    <row r="162" spans="1:14">
      <c r="A162" s="42" t="s">
        <v>101</v>
      </c>
      <c r="B162" s="12" t="s">
        <v>200</v>
      </c>
      <c r="C162" s="12"/>
      <c r="D162" s="12" t="s">
        <v>1659</v>
      </c>
      <c r="E162" s="12"/>
      <c r="F162" s="12" t="s">
        <v>200</v>
      </c>
      <c r="G162" s="12"/>
      <c r="H162" s="12"/>
      <c r="I162" s="12"/>
      <c r="J162" s="15">
        <v>11174</v>
      </c>
      <c r="K162" s="12" t="s">
        <v>102</v>
      </c>
      <c r="L162" s="15">
        <f>SUM(B162:J163)</f>
        <v>27059</v>
      </c>
      <c r="M162" s="40"/>
      <c r="N162" s="40"/>
    </row>
    <row r="163" spans="1:14">
      <c r="A163" s="43"/>
      <c r="B163" s="15">
        <v>14306</v>
      </c>
      <c r="C163" s="15"/>
      <c r="D163" s="15">
        <v>821</v>
      </c>
      <c r="E163" s="12"/>
      <c r="F163" s="12">
        <v>758</v>
      </c>
      <c r="G163" s="12"/>
      <c r="H163" s="12"/>
      <c r="I163" s="12"/>
      <c r="J163" s="15"/>
      <c r="K163" s="12"/>
      <c r="L163" s="15"/>
      <c r="M163" s="40"/>
      <c r="N163" s="40"/>
    </row>
    <row r="164" spans="1:14">
      <c r="A164" s="43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40"/>
      <c r="N164" s="40"/>
    </row>
    <row r="165" spans="1:14">
      <c r="A165" s="52" t="s">
        <v>106</v>
      </c>
      <c r="B165" s="32" t="s">
        <v>107</v>
      </c>
      <c r="C165" s="32" t="s">
        <v>107</v>
      </c>
      <c r="D165" s="32" t="s">
        <v>390</v>
      </c>
      <c r="E165" s="32"/>
      <c r="F165" s="32"/>
      <c r="G165" s="32"/>
      <c r="H165" s="32"/>
      <c r="I165" s="32"/>
      <c r="J165" s="29">
        <v>5736</v>
      </c>
      <c r="K165" s="32" t="s">
        <v>108</v>
      </c>
      <c r="L165" s="15">
        <f>SUM(B165:J166)</f>
        <v>26898</v>
      </c>
      <c r="M165" s="40"/>
      <c r="N165" s="40"/>
    </row>
    <row r="166" spans="1:14">
      <c r="A166" s="53"/>
      <c r="B166" s="29">
        <v>9044</v>
      </c>
      <c r="C166" s="29">
        <v>10992</v>
      </c>
      <c r="D166" s="29">
        <v>1126</v>
      </c>
      <c r="E166" s="32"/>
      <c r="F166" s="32"/>
      <c r="G166" s="32"/>
      <c r="H166" s="32"/>
      <c r="I166" s="32"/>
      <c r="J166" s="29"/>
      <c r="K166" s="32"/>
      <c r="L166" s="15"/>
      <c r="M166" s="40"/>
      <c r="N166" s="40"/>
    </row>
    <row r="167" spans="1:14">
      <c r="A167" s="43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40"/>
      <c r="N167" s="40"/>
    </row>
    <row r="168" spans="1:14">
      <c r="A168" s="42" t="s">
        <v>112</v>
      </c>
      <c r="B168" s="12" t="s">
        <v>1660</v>
      </c>
      <c r="C168" s="12" t="s">
        <v>1661</v>
      </c>
      <c r="D168" s="12" t="s">
        <v>1662</v>
      </c>
      <c r="E168" s="12" t="s">
        <v>1660</v>
      </c>
      <c r="F168" s="12" t="s">
        <v>1660</v>
      </c>
      <c r="G168" s="12"/>
      <c r="H168" s="12"/>
      <c r="I168" s="12"/>
      <c r="J168" s="15">
        <v>5034</v>
      </c>
      <c r="K168" s="12" t="s">
        <v>1663</v>
      </c>
      <c r="L168" s="15">
        <f>SUM(B168:J169)</f>
        <v>25004</v>
      </c>
      <c r="M168" s="40"/>
      <c r="N168" s="40"/>
    </row>
    <row r="169" spans="1:14">
      <c r="A169" s="43"/>
      <c r="B169" s="15">
        <v>13487</v>
      </c>
      <c r="C169" s="15">
        <v>4998</v>
      </c>
      <c r="D169" s="15">
        <v>419</v>
      </c>
      <c r="E169" s="12">
        <v>545</v>
      </c>
      <c r="F169" s="12">
        <v>521</v>
      </c>
      <c r="G169" s="12"/>
      <c r="H169" s="12"/>
      <c r="I169" s="12"/>
      <c r="J169" s="15"/>
      <c r="K169" s="12"/>
      <c r="L169" s="15"/>
      <c r="M169" s="40"/>
      <c r="N169" s="40"/>
    </row>
    <row r="170" spans="1:14">
      <c r="A170" s="43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40"/>
      <c r="N170" s="40"/>
    </row>
    <row r="171" spans="1:14">
      <c r="A171" s="52" t="s">
        <v>116</v>
      </c>
      <c r="B171" s="32" t="s">
        <v>117</v>
      </c>
      <c r="C171" s="32" t="s">
        <v>1492</v>
      </c>
      <c r="D171" s="32" t="s">
        <v>1492</v>
      </c>
      <c r="E171" s="32"/>
      <c r="F171" s="32"/>
      <c r="G171" s="32"/>
      <c r="H171" s="32"/>
      <c r="I171" s="32"/>
      <c r="J171" s="29">
        <v>8679</v>
      </c>
      <c r="K171" s="32" t="s">
        <v>118</v>
      </c>
      <c r="L171" s="15">
        <f>SUM(B171:J172)</f>
        <v>32518</v>
      </c>
      <c r="M171" s="40"/>
      <c r="N171" s="40"/>
    </row>
    <row r="172" spans="1:14">
      <c r="A172" s="53"/>
      <c r="B172" s="29">
        <v>20877</v>
      </c>
      <c r="C172" s="29">
        <v>2700</v>
      </c>
      <c r="D172" s="29">
        <v>262</v>
      </c>
      <c r="E172" s="29"/>
      <c r="F172" s="29"/>
      <c r="G172" s="29"/>
      <c r="H172" s="29"/>
      <c r="I172" s="29"/>
      <c r="J172" s="29"/>
      <c r="K172" s="32"/>
      <c r="L172" s="15"/>
      <c r="M172" s="40"/>
      <c r="N172" s="40"/>
    </row>
    <row r="173" spans="1:14">
      <c r="A173" s="43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40"/>
      <c r="N173" s="40"/>
    </row>
    <row r="174" spans="1:14">
      <c r="A174" s="42" t="s">
        <v>120</v>
      </c>
      <c r="B174" s="12" t="s">
        <v>121</v>
      </c>
      <c r="C174" s="12" t="s">
        <v>1664</v>
      </c>
      <c r="D174" s="12" t="s">
        <v>1664</v>
      </c>
      <c r="E174" s="12"/>
      <c r="F174" s="12"/>
      <c r="G174" s="12"/>
      <c r="H174" s="12"/>
      <c r="I174" s="15"/>
      <c r="J174" s="15">
        <v>6030</v>
      </c>
      <c r="K174" s="12" t="s">
        <v>122</v>
      </c>
      <c r="L174" s="15">
        <f>SUM(B174:J175)</f>
        <v>23182</v>
      </c>
      <c r="M174" s="40"/>
      <c r="N174" s="40"/>
    </row>
    <row r="175" spans="1:14">
      <c r="A175" s="43"/>
      <c r="B175" s="15">
        <v>14442</v>
      </c>
      <c r="C175" s="15">
        <v>2420</v>
      </c>
      <c r="D175" s="15">
        <v>290</v>
      </c>
      <c r="E175" s="15"/>
      <c r="F175" s="15"/>
      <c r="G175" s="15"/>
      <c r="H175" s="15"/>
      <c r="I175" s="15"/>
      <c r="J175" s="15"/>
      <c r="K175" s="12"/>
      <c r="L175" s="15"/>
      <c r="M175" s="40"/>
      <c r="N175" s="40"/>
    </row>
    <row r="176" spans="1:14">
      <c r="A176" s="43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40"/>
      <c r="N176" s="40"/>
    </row>
    <row r="177" spans="1:14">
      <c r="A177" s="52" t="s">
        <v>134</v>
      </c>
      <c r="B177" s="32" t="s">
        <v>972</v>
      </c>
      <c r="C177" s="32" t="s">
        <v>1665</v>
      </c>
      <c r="D177" s="32" t="s">
        <v>1666</v>
      </c>
      <c r="E177" s="32"/>
      <c r="F177" s="32" t="s">
        <v>972</v>
      </c>
      <c r="G177" s="32"/>
      <c r="H177" s="32"/>
      <c r="I177" s="32"/>
      <c r="J177" s="29">
        <v>8831</v>
      </c>
      <c r="K177" s="32" t="s">
        <v>974</v>
      </c>
      <c r="L177" s="15">
        <f>SUM(B177:J178)</f>
        <v>57048</v>
      </c>
      <c r="M177" s="40"/>
      <c r="N177" s="40"/>
    </row>
    <row r="178" spans="1:14">
      <c r="A178" s="53"/>
      <c r="B178" s="29">
        <v>37760</v>
      </c>
      <c r="C178" s="29">
        <v>4053</v>
      </c>
      <c r="D178" s="29">
        <v>853</v>
      </c>
      <c r="E178" s="29"/>
      <c r="F178" s="29">
        <v>5551</v>
      </c>
      <c r="G178" s="29"/>
      <c r="H178" s="29"/>
      <c r="I178" s="29"/>
      <c r="J178" s="29"/>
      <c r="K178" s="32"/>
      <c r="L178" s="15"/>
      <c r="M178" s="40"/>
      <c r="N178" s="40"/>
    </row>
    <row r="179" spans="1:14">
      <c r="A179" s="40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40"/>
      <c r="N179" s="40"/>
    </row>
    <row r="180" spans="1:14">
      <c r="A180" s="42" t="s">
        <v>139</v>
      </c>
      <c r="B180" s="12" t="s">
        <v>975</v>
      </c>
      <c r="C180" s="12" t="s">
        <v>1667</v>
      </c>
      <c r="D180" s="12" t="s">
        <v>1667</v>
      </c>
      <c r="E180" s="12" t="s">
        <v>1668</v>
      </c>
      <c r="F180" s="12" t="s">
        <v>270</v>
      </c>
      <c r="G180" s="12" t="s">
        <v>1800</v>
      </c>
      <c r="H180" s="12"/>
      <c r="I180" s="12"/>
      <c r="J180" s="15">
        <v>7129</v>
      </c>
      <c r="K180" s="12" t="s">
        <v>977</v>
      </c>
      <c r="L180" s="15">
        <f>SUM(B180:J181)</f>
        <v>31942</v>
      </c>
      <c r="M180" s="40"/>
      <c r="N180" s="40"/>
    </row>
    <row r="181" spans="1:14">
      <c r="A181" s="43" t="s">
        <v>978</v>
      </c>
      <c r="B181" s="15">
        <v>20386</v>
      </c>
      <c r="C181" s="15">
        <v>1487</v>
      </c>
      <c r="D181" s="15">
        <v>131</v>
      </c>
      <c r="E181" s="15">
        <v>449</v>
      </c>
      <c r="F181" s="15">
        <v>1129</v>
      </c>
      <c r="G181" s="15">
        <v>1231</v>
      </c>
      <c r="H181" s="15"/>
      <c r="I181" s="12"/>
      <c r="J181" s="15"/>
      <c r="K181" s="12"/>
      <c r="L181" s="15"/>
      <c r="M181" s="40"/>
      <c r="N181" s="40"/>
    </row>
    <row r="182" spans="1:14">
      <c r="A182" s="43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40"/>
      <c r="N182" s="40"/>
    </row>
    <row r="183" spans="1:14">
      <c r="A183" s="52" t="s">
        <v>142</v>
      </c>
      <c r="B183" s="32" t="s">
        <v>1137</v>
      </c>
      <c r="C183" s="32" t="s">
        <v>224</v>
      </c>
      <c r="D183" s="32" t="s">
        <v>224</v>
      </c>
      <c r="E183" s="32"/>
      <c r="F183" s="32" t="s">
        <v>1138</v>
      </c>
      <c r="G183" s="32"/>
      <c r="H183" s="32"/>
      <c r="I183" s="32"/>
      <c r="J183" s="29">
        <v>7740</v>
      </c>
      <c r="K183" s="32" t="s">
        <v>1139</v>
      </c>
      <c r="L183" s="15">
        <f>SUM(B183:J184)</f>
        <v>26249</v>
      </c>
      <c r="M183" s="40"/>
      <c r="N183" s="40"/>
    </row>
    <row r="184" spans="1:14">
      <c r="A184" s="53"/>
      <c r="B184" s="29">
        <v>16534</v>
      </c>
      <c r="C184" s="29">
        <v>1244</v>
      </c>
      <c r="D184" s="29">
        <v>126</v>
      </c>
      <c r="E184" s="29"/>
      <c r="F184" s="29">
        <v>605</v>
      </c>
      <c r="G184" s="29"/>
      <c r="H184" s="29"/>
      <c r="I184" s="32"/>
      <c r="J184" s="29"/>
      <c r="K184" s="32"/>
      <c r="L184" s="15"/>
      <c r="M184" s="40"/>
      <c r="N184" s="40"/>
    </row>
    <row r="185" spans="1:14">
      <c r="A185" s="43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40"/>
      <c r="N185" s="40"/>
    </row>
    <row r="186" spans="1:14">
      <c r="A186" s="42" t="s">
        <v>145</v>
      </c>
      <c r="B186" s="12" t="s">
        <v>982</v>
      </c>
      <c r="C186" s="12" t="s">
        <v>1496</v>
      </c>
      <c r="D186" s="12"/>
      <c r="E186" s="12" t="s">
        <v>982</v>
      </c>
      <c r="F186" s="12"/>
      <c r="G186" s="12"/>
      <c r="H186" s="12"/>
      <c r="I186" s="12"/>
      <c r="J186" s="15">
        <v>6968</v>
      </c>
      <c r="K186" s="12" t="s">
        <v>985</v>
      </c>
      <c r="L186" s="15">
        <f>SUM(B186:J187)</f>
        <v>31603</v>
      </c>
      <c r="M186" s="40"/>
      <c r="N186" s="40"/>
    </row>
    <row r="187" spans="1:14">
      <c r="A187" s="43"/>
      <c r="B187" s="15">
        <v>23403</v>
      </c>
      <c r="C187" s="15">
        <v>867</v>
      </c>
      <c r="D187" s="15"/>
      <c r="E187" s="15">
        <v>365</v>
      </c>
      <c r="F187" s="15"/>
      <c r="G187" s="15"/>
      <c r="H187" s="15"/>
      <c r="I187" s="12"/>
      <c r="J187" s="15"/>
      <c r="K187" s="12"/>
      <c r="L187" s="15"/>
      <c r="M187" s="40"/>
      <c r="N187" s="40"/>
    </row>
    <row r="188" spans="1:14">
      <c r="A188" s="43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40"/>
      <c r="N188" s="40"/>
    </row>
    <row r="189" spans="1:14">
      <c r="A189" s="52" t="s">
        <v>150</v>
      </c>
      <c r="B189" s="32" t="s">
        <v>825</v>
      </c>
      <c r="C189" s="32" t="s">
        <v>1669</v>
      </c>
      <c r="D189" s="32"/>
      <c r="E189" s="32"/>
      <c r="F189" s="32" t="s">
        <v>825</v>
      </c>
      <c r="G189" s="32"/>
      <c r="H189" s="32"/>
      <c r="I189" s="32"/>
      <c r="J189" s="29">
        <v>7475</v>
      </c>
      <c r="K189" s="32" t="s">
        <v>827</v>
      </c>
      <c r="L189" s="15">
        <f>SUM(B189:J190)</f>
        <v>35325</v>
      </c>
      <c r="M189" s="40"/>
      <c r="N189" s="40"/>
    </row>
    <row r="190" spans="1:14">
      <c r="A190" s="53"/>
      <c r="B190" s="29">
        <v>26205</v>
      </c>
      <c r="C190" s="29">
        <v>704</v>
      </c>
      <c r="D190" s="29"/>
      <c r="E190" s="29"/>
      <c r="F190" s="29">
        <v>941</v>
      </c>
      <c r="G190" s="29"/>
      <c r="H190" s="29"/>
      <c r="I190" s="29"/>
      <c r="J190" s="29"/>
      <c r="K190" s="32"/>
      <c r="L190" s="15"/>
      <c r="M190" s="40"/>
      <c r="N190" s="40"/>
    </row>
    <row r="191" spans="1:14">
      <c r="A191" s="43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40"/>
      <c r="N191" s="40"/>
    </row>
    <row r="192" spans="1:14">
      <c r="A192" s="42" t="s">
        <v>154</v>
      </c>
      <c r="B192" s="12" t="s">
        <v>1670</v>
      </c>
      <c r="C192" s="12" t="s">
        <v>1671</v>
      </c>
      <c r="D192" s="12"/>
      <c r="E192" s="12"/>
      <c r="F192" s="12"/>
      <c r="G192" s="12"/>
      <c r="H192" s="12"/>
      <c r="I192" s="12"/>
      <c r="J192" s="15">
        <v>11585</v>
      </c>
      <c r="K192" s="12" t="s">
        <v>1672</v>
      </c>
      <c r="L192" s="15">
        <f>SUM(B192:J193)</f>
        <v>43518</v>
      </c>
      <c r="M192" s="40"/>
      <c r="N192" s="40"/>
    </row>
    <row r="193" spans="1:14">
      <c r="A193" s="43"/>
      <c r="B193" s="15">
        <v>30300</v>
      </c>
      <c r="C193" s="15">
        <v>1633</v>
      </c>
      <c r="D193" s="15"/>
      <c r="E193" s="15"/>
      <c r="F193" s="15"/>
      <c r="G193" s="15"/>
      <c r="H193" s="15"/>
      <c r="I193" s="15"/>
      <c r="J193" s="15"/>
      <c r="K193" s="15"/>
      <c r="L193" s="15"/>
      <c r="M193" s="40"/>
      <c r="N193" s="40"/>
    </row>
    <row r="194" spans="1:14">
      <c r="A194" s="43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40"/>
      <c r="N194" s="40"/>
    </row>
    <row r="195" spans="1:14">
      <c r="A195" s="52" t="s">
        <v>158</v>
      </c>
      <c r="B195" s="32" t="s">
        <v>159</v>
      </c>
      <c r="C195" s="32" t="s">
        <v>1673</v>
      </c>
      <c r="D195" s="32" t="s">
        <v>1673</v>
      </c>
      <c r="E195" s="32"/>
      <c r="F195" s="32" t="s">
        <v>504</v>
      </c>
      <c r="G195" s="32"/>
      <c r="H195" s="32"/>
      <c r="I195" s="32"/>
      <c r="J195" s="29">
        <v>6828</v>
      </c>
      <c r="K195" s="32" t="s">
        <v>160</v>
      </c>
      <c r="L195" s="15">
        <f>SUM(B195:J196)</f>
        <v>34463</v>
      </c>
      <c r="M195" s="40"/>
      <c r="N195" s="40"/>
    </row>
    <row r="196" spans="1:14">
      <c r="A196" s="53"/>
      <c r="B196" s="29">
        <v>25830</v>
      </c>
      <c r="C196" s="29">
        <v>1027</v>
      </c>
      <c r="D196" s="29">
        <v>149</v>
      </c>
      <c r="E196" s="29"/>
      <c r="F196" s="29">
        <v>629</v>
      </c>
      <c r="G196" s="29"/>
      <c r="H196" s="29"/>
      <c r="I196" s="29"/>
      <c r="J196" s="29"/>
      <c r="K196" s="32"/>
      <c r="L196" s="15"/>
      <c r="M196" s="40"/>
      <c r="N196" s="40"/>
    </row>
    <row r="197" spans="1:14">
      <c r="A197" s="43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40"/>
      <c r="N197" s="40"/>
    </row>
    <row r="198" spans="1:14">
      <c r="A198" s="42" t="s">
        <v>166</v>
      </c>
      <c r="B198" s="12" t="s">
        <v>1674</v>
      </c>
      <c r="C198" s="12" t="s">
        <v>1674</v>
      </c>
      <c r="D198" s="12" t="s">
        <v>1675</v>
      </c>
      <c r="E198" s="12" t="s">
        <v>1674</v>
      </c>
      <c r="F198" s="12"/>
      <c r="G198" s="12"/>
      <c r="H198" s="12"/>
      <c r="I198" s="12"/>
      <c r="J198" s="15">
        <v>8344</v>
      </c>
      <c r="K198" s="12" t="s">
        <v>1676</v>
      </c>
      <c r="L198" s="15">
        <f>SUM(B198:J199)</f>
        <v>37822</v>
      </c>
      <c r="M198" s="40"/>
      <c r="N198" s="40"/>
    </row>
    <row r="199" spans="1:14">
      <c r="A199" s="43"/>
      <c r="B199" s="15">
        <v>20199</v>
      </c>
      <c r="C199" s="15">
        <v>7929</v>
      </c>
      <c r="D199" s="15">
        <v>990</v>
      </c>
      <c r="E199" s="15">
        <v>360</v>
      </c>
      <c r="F199" s="15"/>
      <c r="G199" s="15"/>
      <c r="H199" s="15"/>
      <c r="I199" s="15"/>
      <c r="J199" s="15"/>
      <c r="K199" s="12"/>
      <c r="L199" s="15"/>
      <c r="M199" s="40"/>
      <c r="N199" s="40"/>
    </row>
    <row r="200" spans="1:14">
      <c r="A200" s="43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40"/>
      <c r="N200" s="40"/>
    </row>
    <row r="201" spans="1:14" ht="17.25">
      <c r="A201" s="42" t="s">
        <v>1792</v>
      </c>
      <c r="B201" s="15" t="s">
        <v>988</v>
      </c>
      <c r="C201" s="15" t="s">
        <v>1677</v>
      </c>
      <c r="D201" s="15" t="s">
        <v>1498</v>
      </c>
      <c r="E201" s="15"/>
      <c r="F201" s="15"/>
      <c r="G201" s="15"/>
      <c r="H201" s="15"/>
      <c r="I201" s="15"/>
      <c r="J201" s="15">
        <v>8</v>
      </c>
      <c r="K201" s="15" t="s">
        <v>990</v>
      </c>
      <c r="L201" s="15">
        <f>SUM(B201:J202)</f>
        <v>2283</v>
      </c>
      <c r="M201" s="40"/>
      <c r="N201" s="40"/>
    </row>
    <row r="202" spans="1:14">
      <c r="A202" s="43"/>
      <c r="B202" s="15">
        <v>1932</v>
      </c>
      <c r="C202" s="15">
        <v>141</v>
      </c>
      <c r="D202" s="15">
        <v>202</v>
      </c>
      <c r="E202" s="15"/>
      <c r="F202" s="15"/>
      <c r="G202" s="15"/>
      <c r="H202" s="15"/>
      <c r="I202" s="15"/>
      <c r="J202" s="15"/>
      <c r="K202" s="15"/>
      <c r="L202" s="15"/>
      <c r="M202" s="40"/>
      <c r="N202" s="40"/>
    </row>
    <row r="203" spans="1:14">
      <c r="A203" s="43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40"/>
      <c r="N203" s="40"/>
    </row>
    <row r="204" spans="1:14">
      <c r="A204" s="52" t="s">
        <v>170</v>
      </c>
      <c r="B204" s="32" t="s">
        <v>1144</v>
      </c>
      <c r="C204" s="32" t="s">
        <v>1678</v>
      </c>
      <c r="D204" s="32" t="s">
        <v>1678</v>
      </c>
      <c r="E204" s="32" t="s">
        <v>1678</v>
      </c>
      <c r="F204" s="32" t="s">
        <v>1144</v>
      </c>
      <c r="G204" s="32"/>
      <c r="H204" s="32"/>
      <c r="I204" s="32"/>
      <c r="J204" s="29">
        <v>9066</v>
      </c>
      <c r="K204" s="29" t="s">
        <v>1679</v>
      </c>
      <c r="L204" s="15">
        <f>SUM(B204:J205)</f>
        <v>43369</v>
      </c>
      <c r="M204" s="40"/>
      <c r="N204" s="40"/>
    </row>
    <row r="205" spans="1:14">
      <c r="A205" s="53"/>
      <c r="B205" s="29">
        <v>13006</v>
      </c>
      <c r="C205" s="29">
        <v>18081</v>
      </c>
      <c r="D205" s="29">
        <v>1798</v>
      </c>
      <c r="E205" s="29">
        <v>682</v>
      </c>
      <c r="F205" s="29">
        <v>736</v>
      </c>
      <c r="G205" s="29"/>
      <c r="H205" s="29"/>
      <c r="I205" s="29"/>
      <c r="J205" s="29"/>
      <c r="K205" s="29"/>
      <c r="L205" s="15"/>
      <c r="M205" s="40"/>
      <c r="N205" s="40"/>
    </row>
    <row r="206" spans="1:14">
      <c r="A206" s="40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40"/>
      <c r="N206" s="40"/>
    </row>
    <row r="207" spans="1:14">
      <c r="A207" s="40" t="s">
        <v>5</v>
      </c>
      <c r="B207" s="15" t="s">
        <v>1500</v>
      </c>
      <c r="C207" s="15" t="s">
        <v>279</v>
      </c>
      <c r="D207" s="15" t="s">
        <v>279</v>
      </c>
      <c r="E207" s="15" t="s">
        <v>1680</v>
      </c>
      <c r="F207" s="15" t="s">
        <v>1500</v>
      </c>
      <c r="G207" s="15"/>
      <c r="H207" s="15"/>
      <c r="I207" s="15"/>
      <c r="J207" s="15">
        <v>8293</v>
      </c>
      <c r="K207" s="15" t="s">
        <v>1501</v>
      </c>
      <c r="L207" s="15">
        <f>SUM(B207:J208)</f>
        <v>40736</v>
      </c>
      <c r="M207" s="40"/>
      <c r="N207" s="40"/>
    </row>
    <row r="208" spans="1:14">
      <c r="A208" s="40"/>
      <c r="B208" s="15">
        <v>20014</v>
      </c>
      <c r="C208" s="15">
        <v>8563</v>
      </c>
      <c r="D208" s="15">
        <v>1138</v>
      </c>
      <c r="E208" s="15">
        <v>1550</v>
      </c>
      <c r="F208" s="15">
        <v>1178</v>
      </c>
      <c r="G208" s="15"/>
      <c r="H208" s="15"/>
      <c r="I208" s="15"/>
      <c r="J208" s="15"/>
      <c r="K208" s="15"/>
      <c r="L208" s="15"/>
      <c r="M208" s="40"/>
      <c r="N208" s="40"/>
    </row>
    <row r="209" spans="1:14">
      <c r="A209" s="40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40"/>
      <c r="N209" s="40"/>
    </row>
    <row r="210" spans="1:14">
      <c r="A210" s="52" t="s">
        <v>8</v>
      </c>
      <c r="B210" s="32" t="s">
        <v>1681</v>
      </c>
      <c r="C210" s="32" t="s">
        <v>1504</v>
      </c>
      <c r="D210" s="32" t="s">
        <v>1682</v>
      </c>
      <c r="E210" s="32" t="s">
        <v>1683</v>
      </c>
      <c r="F210" s="32" t="s">
        <v>1683</v>
      </c>
      <c r="G210" s="32"/>
      <c r="H210" s="32"/>
      <c r="I210" s="32"/>
      <c r="J210" s="29">
        <v>7625</v>
      </c>
      <c r="K210" s="32" t="s">
        <v>1505</v>
      </c>
      <c r="L210" s="15">
        <f>SUM(B210:J211)</f>
        <v>48788</v>
      </c>
      <c r="M210" s="40"/>
      <c r="N210" s="40"/>
    </row>
    <row r="211" spans="1:14">
      <c r="A211" s="53"/>
      <c r="B211" s="29">
        <v>7538</v>
      </c>
      <c r="C211" s="29">
        <v>26649</v>
      </c>
      <c r="D211" s="29">
        <v>1952</v>
      </c>
      <c r="E211" s="29">
        <v>3893</v>
      </c>
      <c r="F211" s="29">
        <v>1131</v>
      </c>
      <c r="G211" s="29"/>
      <c r="H211" s="29"/>
      <c r="I211" s="29"/>
      <c r="J211" s="29"/>
      <c r="K211" s="32"/>
      <c r="L211" s="15"/>
      <c r="M211" s="40"/>
      <c r="N211" s="40"/>
    </row>
    <row r="212" spans="1:14">
      <c r="A212" s="43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40"/>
      <c r="N212" s="40"/>
    </row>
    <row r="213" spans="1:14">
      <c r="A213" s="42" t="s">
        <v>14</v>
      </c>
      <c r="B213" s="12" t="s">
        <v>225</v>
      </c>
      <c r="C213" s="12" t="s">
        <v>1509</v>
      </c>
      <c r="D213" s="12" t="s">
        <v>225</v>
      </c>
      <c r="E213" s="12" t="s">
        <v>225</v>
      </c>
      <c r="F213" s="12" t="s">
        <v>225</v>
      </c>
      <c r="G213" s="12"/>
      <c r="H213" s="12"/>
      <c r="I213" s="12"/>
      <c r="J213" s="15">
        <v>8507</v>
      </c>
      <c r="K213" s="12" t="s">
        <v>226</v>
      </c>
      <c r="L213" s="15">
        <f>SUM(B213:J214)</f>
        <v>42520</v>
      </c>
      <c r="M213" s="40"/>
      <c r="N213" s="40"/>
    </row>
    <row r="214" spans="1:14">
      <c r="A214" s="43"/>
      <c r="B214" s="15">
        <v>18911</v>
      </c>
      <c r="C214" s="15">
        <v>12262</v>
      </c>
      <c r="D214" s="15">
        <v>1525</v>
      </c>
      <c r="E214" s="15">
        <v>585</v>
      </c>
      <c r="F214" s="15">
        <v>730</v>
      </c>
      <c r="G214" s="15"/>
      <c r="H214" s="15"/>
      <c r="I214" s="15"/>
      <c r="J214" s="15"/>
      <c r="K214" s="12"/>
      <c r="L214" s="15"/>
      <c r="M214" s="40"/>
      <c r="N214" s="40"/>
    </row>
    <row r="215" spans="1:14">
      <c r="A215" s="43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40"/>
      <c r="N215" s="40"/>
    </row>
    <row r="216" spans="1:14">
      <c r="A216" s="52" t="s">
        <v>23</v>
      </c>
      <c r="B216" s="32" t="s">
        <v>834</v>
      </c>
      <c r="C216" s="32"/>
      <c r="D216" s="32"/>
      <c r="E216" s="32" t="s">
        <v>1684</v>
      </c>
      <c r="F216" s="32" t="s">
        <v>834</v>
      </c>
      <c r="G216" s="32"/>
      <c r="H216" s="32"/>
      <c r="I216" s="32"/>
      <c r="J216" s="29">
        <v>12957</v>
      </c>
      <c r="K216" s="32" t="s">
        <v>836</v>
      </c>
      <c r="L216" s="15">
        <f>SUM(B216:J217)</f>
        <v>41106</v>
      </c>
      <c r="M216" s="40"/>
      <c r="N216" s="40"/>
    </row>
    <row r="217" spans="1:14">
      <c r="A217" s="53"/>
      <c r="B217" s="29">
        <v>25100</v>
      </c>
      <c r="C217" s="29"/>
      <c r="D217" s="29"/>
      <c r="E217" s="29">
        <v>1770</v>
      </c>
      <c r="F217" s="29">
        <v>1279</v>
      </c>
      <c r="G217" s="29"/>
      <c r="H217" s="29"/>
      <c r="I217" s="32"/>
      <c r="J217" s="29"/>
      <c r="K217" s="32"/>
      <c r="L217" s="15"/>
      <c r="M217" s="40"/>
      <c r="N217" s="40"/>
    </row>
    <row r="218" spans="1:14">
      <c r="A218" s="43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40"/>
      <c r="N218" s="40"/>
    </row>
    <row r="219" spans="1:14">
      <c r="A219" s="42" t="s">
        <v>29</v>
      </c>
      <c r="B219" s="12" t="s">
        <v>1511</v>
      </c>
      <c r="C219" s="12" t="s">
        <v>1685</v>
      </c>
      <c r="D219" s="12"/>
      <c r="E219" s="12"/>
      <c r="F219" s="12" t="s">
        <v>1606</v>
      </c>
      <c r="G219" s="12"/>
      <c r="H219" s="12"/>
      <c r="I219" s="12"/>
      <c r="J219" s="15">
        <v>11148</v>
      </c>
      <c r="K219" s="12" t="s">
        <v>1513</v>
      </c>
      <c r="L219" s="15">
        <f>SUM(B219:J220)</f>
        <v>60775</v>
      </c>
      <c r="M219" s="40"/>
      <c r="N219" s="40"/>
    </row>
    <row r="220" spans="1:14">
      <c r="A220" s="43"/>
      <c r="B220" s="15">
        <v>36900</v>
      </c>
      <c r="C220" s="15">
        <v>11710</v>
      </c>
      <c r="D220" s="15"/>
      <c r="E220" s="15"/>
      <c r="F220" s="15">
        <v>1017</v>
      </c>
      <c r="G220" s="15"/>
      <c r="H220" s="15"/>
      <c r="I220" s="15"/>
      <c r="J220" s="15"/>
      <c r="K220" s="12"/>
      <c r="L220" s="15"/>
      <c r="M220" s="40"/>
      <c r="N220" s="40"/>
    </row>
    <row r="221" spans="1:14">
      <c r="A221" s="43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40"/>
      <c r="N221" s="40"/>
    </row>
    <row r="222" spans="1:14">
      <c r="A222" s="52" t="s">
        <v>36</v>
      </c>
      <c r="B222" s="32" t="s">
        <v>37</v>
      </c>
      <c r="C222" s="32"/>
      <c r="D222" s="32"/>
      <c r="E222" s="32"/>
      <c r="F222" s="32" t="s">
        <v>511</v>
      </c>
      <c r="G222" s="32"/>
      <c r="H222" s="32" t="s">
        <v>1801</v>
      </c>
      <c r="I222" s="32"/>
      <c r="J222" s="29">
        <v>14410</v>
      </c>
      <c r="K222" s="32" t="s">
        <v>38</v>
      </c>
      <c r="L222" s="15">
        <f>SUM(B222:J223)</f>
        <v>65980</v>
      </c>
      <c r="M222" s="40"/>
      <c r="N222" s="40"/>
    </row>
    <row r="223" spans="1:14">
      <c r="A223" s="53"/>
      <c r="B223" s="29">
        <v>47139</v>
      </c>
      <c r="C223" s="29"/>
      <c r="D223" s="29"/>
      <c r="E223" s="29"/>
      <c r="F223" s="29">
        <v>3187</v>
      </c>
      <c r="G223" s="29"/>
      <c r="H223" s="29">
        <v>1244</v>
      </c>
      <c r="I223" s="32"/>
      <c r="J223" s="29"/>
      <c r="K223" s="29"/>
      <c r="L223" s="15"/>
      <c r="M223" s="40"/>
      <c r="N223" s="40"/>
    </row>
    <row r="224" spans="1:14">
      <c r="A224" s="43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40"/>
      <c r="N224" s="40"/>
    </row>
    <row r="225" spans="1:14">
      <c r="A225" s="42" t="s">
        <v>46</v>
      </c>
      <c r="B225" s="12" t="s">
        <v>1686</v>
      </c>
      <c r="C225" s="12" t="s">
        <v>1687</v>
      </c>
      <c r="D225" s="12"/>
      <c r="E225" s="12" t="s">
        <v>1687</v>
      </c>
      <c r="F225" s="12" t="s">
        <v>1802</v>
      </c>
      <c r="G225" s="12"/>
      <c r="H225" s="12"/>
      <c r="I225" s="12"/>
      <c r="J225" s="15">
        <v>10556</v>
      </c>
      <c r="K225" s="12" t="s">
        <v>1688</v>
      </c>
      <c r="L225" s="15">
        <f>SUM(B225:J226)</f>
        <v>67937</v>
      </c>
      <c r="M225" s="40"/>
      <c r="N225" s="40"/>
    </row>
    <row r="226" spans="1:14">
      <c r="A226" s="43"/>
      <c r="B226" s="15">
        <v>46523</v>
      </c>
      <c r="C226" s="15">
        <v>8212</v>
      </c>
      <c r="D226" s="15"/>
      <c r="E226" s="15">
        <v>606</v>
      </c>
      <c r="F226" s="15">
        <v>2040</v>
      </c>
      <c r="G226" s="15"/>
      <c r="H226" s="15"/>
      <c r="I226" s="12"/>
      <c r="J226" s="15"/>
      <c r="K226" s="12"/>
      <c r="L226" s="15"/>
      <c r="M226" s="40"/>
      <c r="N226" s="40"/>
    </row>
    <row r="227" spans="1:14">
      <c r="A227" s="43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40"/>
      <c r="N227" s="40"/>
    </row>
    <row r="228" spans="1:14">
      <c r="A228" s="52" t="s">
        <v>51</v>
      </c>
      <c r="B228" s="29" t="s">
        <v>1516</v>
      </c>
      <c r="C228" s="29"/>
      <c r="D228" s="29"/>
      <c r="E228" s="29"/>
      <c r="F228" s="29"/>
      <c r="G228" s="29"/>
      <c r="H228" s="29"/>
      <c r="I228" s="29"/>
      <c r="J228" s="29">
        <v>14699</v>
      </c>
      <c r="K228" s="29" t="s">
        <v>1518</v>
      </c>
      <c r="L228" s="15">
        <f>SUM(B228:J229)</f>
        <v>41106</v>
      </c>
      <c r="M228" s="40"/>
      <c r="N228" s="40"/>
    </row>
    <row r="229" spans="1:14">
      <c r="A229" s="53"/>
      <c r="B229" s="29">
        <v>26407</v>
      </c>
      <c r="C229" s="29"/>
      <c r="D229" s="29"/>
      <c r="E229" s="29"/>
      <c r="F229" s="29"/>
      <c r="G229" s="29"/>
      <c r="H229" s="29"/>
      <c r="I229" s="29"/>
      <c r="J229" s="29"/>
      <c r="K229" s="29"/>
      <c r="L229" s="15"/>
      <c r="M229" s="40"/>
      <c r="N229" s="40"/>
    </row>
    <row r="230" spans="1:14">
      <c r="A230" s="43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40"/>
      <c r="N230" s="40"/>
    </row>
    <row r="231" spans="1:14">
      <c r="A231" s="42" t="s">
        <v>58</v>
      </c>
      <c r="B231" s="12" t="s">
        <v>227</v>
      </c>
      <c r="C231" s="12" t="s">
        <v>1689</v>
      </c>
      <c r="D231" s="12"/>
      <c r="E231" s="12"/>
      <c r="F231" s="12" t="s">
        <v>227</v>
      </c>
      <c r="G231" s="12"/>
      <c r="H231" s="12"/>
      <c r="I231" s="15"/>
      <c r="J231" s="15">
        <v>11201</v>
      </c>
      <c r="K231" s="12" t="s">
        <v>228</v>
      </c>
      <c r="L231" s="15">
        <f>SUM(B231:J232)</f>
        <v>57682</v>
      </c>
      <c r="M231" s="40"/>
      <c r="N231" s="40"/>
    </row>
    <row r="232" spans="1:14">
      <c r="A232" s="43"/>
      <c r="B232" s="15">
        <v>39494</v>
      </c>
      <c r="C232" s="15">
        <v>4088</v>
      </c>
      <c r="D232" s="15"/>
      <c r="E232" s="15"/>
      <c r="F232" s="15">
        <v>2899</v>
      </c>
      <c r="G232" s="15"/>
      <c r="H232" s="15"/>
      <c r="I232" s="15"/>
      <c r="J232" s="15"/>
      <c r="K232" s="12"/>
      <c r="L232" s="15"/>
      <c r="M232" s="40"/>
      <c r="N232" s="40"/>
    </row>
    <row r="233" spans="1:14">
      <c r="A233" s="43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40"/>
      <c r="N233" s="40"/>
    </row>
    <row r="234" spans="1:14">
      <c r="A234" s="52" t="s">
        <v>62</v>
      </c>
      <c r="B234" s="32" t="s">
        <v>839</v>
      </c>
      <c r="C234" s="32" t="s">
        <v>1690</v>
      </c>
      <c r="D234" s="32"/>
      <c r="E234" s="32"/>
      <c r="F234" s="32" t="s">
        <v>312</v>
      </c>
      <c r="G234" s="32"/>
      <c r="H234" s="32"/>
      <c r="I234" s="32"/>
      <c r="J234" s="29">
        <v>10067</v>
      </c>
      <c r="K234" s="32" t="s">
        <v>841</v>
      </c>
      <c r="L234" s="15">
        <f>SUM(B234:J235)</f>
        <v>41815</v>
      </c>
      <c r="M234" s="40"/>
      <c r="N234" s="40"/>
    </row>
    <row r="235" spans="1:14">
      <c r="A235" s="53"/>
      <c r="B235" s="29">
        <v>29481</v>
      </c>
      <c r="C235" s="29">
        <v>1143</v>
      </c>
      <c r="D235" s="29"/>
      <c r="E235" s="29"/>
      <c r="F235" s="29">
        <v>1124</v>
      </c>
      <c r="G235" s="29"/>
      <c r="H235" s="29"/>
      <c r="I235" s="32"/>
      <c r="J235" s="29"/>
      <c r="K235" s="32"/>
      <c r="L235" s="15"/>
      <c r="M235" s="40"/>
      <c r="N235" s="40"/>
    </row>
    <row r="236" spans="1:14">
      <c r="A236" s="43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40"/>
      <c r="N236" s="40"/>
    </row>
    <row r="237" spans="1:14">
      <c r="A237" s="42" t="s">
        <v>67</v>
      </c>
      <c r="B237" s="12" t="s">
        <v>68</v>
      </c>
      <c r="C237" s="12" t="s">
        <v>1691</v>
      </c>
      <c r="D237" s="12"/>
      <c r="E237" s="12" t="s">
        <v>1692</v>
      </c>
      <c r="F237" s="12"/>
      <c r="G237" s="12"/>
      <c r="H237" s="12"/>
      <c r="I237" s="12"/>
      <c r="J237" s="15">
        <v>10568</v>
      </c>
      <c r="K237" s="12" t="s">
        <v>69</v>
      </c>
      <c r="L237" s="15">
        <f>SUM(B237:J238)</f>
        <v>43009</v>
      </c>
      <c r="M237" s="40"/>
      <c r="N237" s="40"/>
    </row>
    <row r="238" spans="1:14">
      <c r="A238" s="43"/>
      <c r="B238" s="15">
        <v>29362</v>
      </c>
      <c r="C238" s="15">
        <v>2336</v>
      </c>
      <c r="D238" s="15"/>
      <c r="E238" s="15">
        <v>743</v>
      </c>
      <c r="F238" s="15"/>
      <c r="G238" s="15"/>
      <c r="H238" s="15"/>
      <c r="I238" s="15"/>
      <c r="J238" s="15"/>
      <c r="K238" s="12"/>
      <c r="L238" s="15"/>
      <c r="M238" s="40"/>
      <c r="N238" s="40"/>
    </row>
    <row r="239" spans="1:14">
      <c r="A239" s="43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40"/>
      <c r="N239" s="40"/>
    </row>
    <row r="240" spans="1:14">
      <c r="A240" s="52" t="s">
        <v>72</v>
      </c>
      <c r="B240" s="32" t="s">
        <v>1349</v>
      </c>
      <c r="C240" s="32" t="s">
        <v>1519</v>
      </c>
      <c r="D240" s="32" t="s">
        <v>1519</v>
      </c>
      <c r="E240" s="32" t="s">
        <v>1519</v>
      </c>
      <c r="F240" s="32" t="s">
        <v>1349</v>
      </c>
      <c r="G240" s="32"/>
      <c r="H240" s="32"/>
      <c r="I240" s="32"/>
      <c r="J240" s="29">
        <v>7874</v>
      </c>
      <c r="K240" s="32" t="s">
        <v>1350</v>
      </c>
      <c r="L240" s="15">
        <f>SUM(B240:J241)</f>
        <v>32077</v>
      </c>
      <c r="M240" s="40"/>
      <c r="N240" s="40"/>
    </row>
    <row r="241" spans="1:14">
      <c r="A241" s="53"/>
      <c r="B241" s="29">
        <v>21528</v>
      </c>
      <c r="C241" s="29">
        <v>1683</v>
      </c>
      <c r="D241" s="29">
        <v>87</v>
      </c>
      <c r="E241" s="29">
        <v>203</v>
      </c>
      <c r="F241" s="29">
        <v>702</v>
      </c>
      <c r="G241" s="29"/>
      <c r="H241" s="29"/>
      <c r="I241" s="29"/>
      <c r="J241" s="29"/>
      <c r="K241" s="32"/>
      <c r="L241" s="15"/>
      <c r="M241" s="40"/>
      <c r="N241" s="40"/>
    </row>
    <row r="242" spans="1:14">
      <c r="A242" s="43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40"/>
      <c r="N242" s="40"/>
    </row>
    <row r="243" spans="1:14">
      <c r="A243" s="42" t="s">
        <v>79</v>
      </c>
      <c r="B243" s="12" t="s">
        <v>1158</v>
      </c>
      <c r="C243" s="12" t="s">
        <v>1693</v>
      </c>
      <c r="D243" s="12"/>
      <c r="E243" s="12"/>
      <c r="F243" s="12" t="s">
        <v>1158</v>
      </c>
      <c r="G243" s="12"/>
      <c r="H243" s="12"/>
      <c r="I243" s="12"/>
      <c r="J243" s="15">
        <v>10605</v>
      </c>
      <c r="K243" s="12" t="s">
        <v>1161</v>
      </c>
      <c r="L243" s="15">
        <f>SUM(B243:J244)</f>
        <v>63382</v>
      </c>
      <c r="M243" s="40"/>
      <c r="N243" s="40"/>
    </row>
    <row r="244" spans="1:14">
      <c r="A244" s="43"/>
      <c r="B244" s="15">
        <v>37379</v>
      </c>
      <c r="C244" s="15">
        <v>14534</v>
      </c>
      <c r="D244" s="15"/>
      <c r="E244" s="15"/>
      <c r="F244" s="15">
        <v>864</v>
      </c>
      <c r="G244" s="15"/>
      <c r="H244" s="15"/>
      <c r="I244" s="15"/>
      <c r="J244" s="15"/>
      <c r="K244" s="12"/>
      <c r="L244" s="15"/>
      <c r="M244" s="40"/>
      <c r="N244" s="40"/>
    </row>
    <row r="245" spans="1:14">
      <c r="A245" s="43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40"/>
      <c r="N245" s="40"/>
    </row>
    <row r="246" spans="1:14">
      <c r="A246" s="52" t="s">
        <v>87</v>
      </c>
      <c r="B246" s="32" t="s">
        <v>1694</v>
      </c>
      <c r="C246" s="32" t="s">
        <v>1695</v>
      </c>
      <c r="D246" s="32"/>
      <c r="E246" s="32"/>
      <c r="F246" s="32" t="s">
        <v>1694</v>
      </c>
      <c r="G246" s="32"/>
      <c r="H246" s="32"/>
      <c r="I246" s="29" t="s">
        <v>1697</v>
      </c>
      <c r="J246" s="29">
        <v>11055</v>
      </c>
      <c r="K246" s="32" t="s">
        <v>1696</v>
      </c>
      <c r="L246" s="15">
        <f>SUM(B246:J247)</f>
        <v>59015</v>
      </c>
      <c r="M246" s="40"/>
      <c r="N246" s="40"/>
    </row>
    <row r="247" spans="1:14">
      <c r="A247" s="53"/>
      <c r="B247" s="29">
        <v>38728</v>
      </c>
      <c r="C247" s="29">
        <v>6927</v>
      </c>
      <c r="D247" s="29"/>
      <c r="E247" s="29"/>
      <c r="F247" s="29">
        <v>1878</v>
      </c>
      <c r="G247" s="29"/>
      <c r="H247" s="29"/>
      <c r="I247" s="29">
        <v>427</v>
      </c>
      <c r="J247" s="29"/>
      <c r="K247" s="29"/>
      <c r="L247" s="15"/>
      <c r="M247" s="40"/>
      <c r="N247" s="40"/>
    </row>
    <row r="248" spans="1:14">
      <c r="A248" s="53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15"/>
      <c r="M248" s="40"/>
      <c r="N248" s="40"/>
    </row>
    <row r="249" spans="1:14" ht="17.25">
      <c r="A249" s="52" t="s">
        <v>1793</v>
      </c>
      <c r="B249" s="29" t="s">
        <v>952</v>
      </c>
      <c r="C249" s="29" t="s">
        <v>524</v>
      </c>
      <c r="D249" s="29"/>
      <c r="E249" s="29"/>
      <c r="F249" s="29" t="s">
        <v>952</v>
      </c>
      <c r="G249" s="29"/>
      <c r="H249" s="29"/>
      <c r="I249" s="29"/>
      <c r="J249" s="29">
        <v>24</v>
      </c>
      <c r="K249" s="29" t="s">
        <v>1698</v>
      </c>
      <c r="L249" s="15">
        <f>SUM(B249:J250)</f>
        <v>3872</v>
      </c>
      <c r="M249" s="40"/>
      <c r="N249" s="40"/>
    </row>
    <row r="250" spans="1:14">
      <c r="A250" s="53"/>
      <c r="B250" s="29">
        <v>2262</v>
      </c>
      <c r="C250" s="29">
        <v>1120</v>
      </c>
      <c r="D250" s="29"/>
      <c r="E250" s="29"/>
      <c r="F250" s="29">
        <v>466</v>
      </c>
      <c r="G250" s="29"/>
      <c r="H250" s="29"/>
      <c r="I250" s="29"/>
      <c r="J250" s="29"/>
      <c r="K250" s="29"/>
      <c r="L250" s="15"/>
      <c r="M250" s="40"/>
      <c r="N250" s="40"/>
    </row>
    <row r="251" spans="1:14">
      <c r="A251" s="43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40"/>
      <c r="N251" s="40"/>
    </row>
    <row r="252" spans="1:14">
      <c r="A252" s="42" t="s">
        <v>92</v>
      </c>
      <c r="B252" s="12" t="s">
        <v>201</v>
      </c>
      <c r="C252" s="12"/>
      <c r="D252" s="12"/>
      <c r="E252" s="12"/>
      <c r="F252" s="12" t="s">
        <v>201</v>
      </c>
      <c r="G252" s="12"/>
      <c r="H252" s="12"/>
      <c r="I252" s="12"/>
      <c r="J252" s="15">
        <v>20293</v>
      </c>
      <c r="K252" s="12" t="s">
        <v>24</v>
      </c>
      <c r="L252" s="15">
        <f>SUM(B252:J253)</f>
        <v>63764</v>
      </c>
      <c r="M252" s="40"/>
      <c r="N252" s="40"/>
    </row>
    <row r="253" spans="1:14">
      <c r="A253" s="43"/>
      <c r="B253" s="15">
        <v>41362</v>
      </c>
      <c r="C253" s="15"/>
      <c r="D253" s="15"/>
      <c r="E253" s="15"/>
      <c r="F253" s="15">
        <v>2109</v>
      </c>
      <c r="G253" s="15"/>
      <c r="H253" s="15"/>
      <c r="I253" s="12"/>
      <c r="J253" s="15"/>
      <c r="K253" s="15"/>
      <c r="L253" s="15"/>
      <c r="M253" s="40"/>
      <c r="N253" s="40"/>
    </row>
    <row r="254" spans="1:14">
      <c r="A254" s="43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40"/>
      <c r="N254" s="40"/>
    </row>
    <row r="255" spans="1:14">
      <c r="A255" s="52" t="s">
        <v>95</v>
      </c>
      <c r="B255" s="32" t="s">
        <v>1163</v>
      </c>
      <c r="C255" s="32" t="s">
        <v>1699</v>
      </c>
      <c r="D255" s="32" t="s">
        <v>1699</v>
      </c>
      <c r="E255" s="32"/>
      <c r="F255" s="32" t="s">
        <v>203</v>
      </c>
      <c r="G255" s="32"/>
      <c r="H255" s="32"/>
      <c r="I255" s="32"/>
      <c r="J255" s="29">
        <v>8787</v>
      </c>
      <c r="K255" s="32" t="s">
        <v>1164</v>
      </c>
      <c r="L255" s="15">
        <f>SUM(B255:J256)</f>
        <v>34001</v>
      </c>
      <c r="M255" s="40"/>
      <c r="N255" s="40"/>
    </row>
    <row r="256" spans="1:14">
      <c r="A256" s="53"/>
      <c r="B256" s="29">
        <v>22204</v>
      </c>
      <c r="C256" s="29">
        <v>1934</v>
      </c>
      <c r="D256" s="29">
        <v>261</v>
      </c>
      <c r="E256" s="29"/>
      <c r="F256" s="29">
        <v>815</v>
      </c>
      <c r="G256" s="29"/>
      <c r="H256" s="29"/>
      <c r="I256" s="29"/>
      <c r="J256" s="29"/>
      <c r="K256" s="32"/>
      <c r="L256" s="15"/>
      <c r="M256" s="40"/>
      <c r="N256" s="40"/>
    </row>
    <row r="257" spans="1:14">
      <c r="A257" s="43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40"/>
      <c r="N257" s="40"/>
    </row>
    <row r="258" spans="1:14">
      <c r="A258" s="42" t="s">
        <v>98</v>
      </c>
      <c r="B258" s="12" t="s">
        <v>1352</v>
      </c>
      <c r="C258" s="15" t="s">
        <v>1353</v>
      </c>
      <c r="D258" s="12" t="s">
        <v>1353</v>
      </c>
      <c r="E258" s="12" t="s">
        <v>1353</v>
      </c>
      <c r="F258" s="12" t="s">
        <v>1444</v>
      </c>
      <c r="G258" s="12"/>
      <c r="H258" s="12"/>
      <c r="I258" s="12"/>
      <c r="J258" s="15">
        <v>6764</v>
      </c>
      <c r="K258" s="12" t="s">
        <v>1354</v>
      </c>
      <c r="L258" s="15">
        <f>SUM(B258:J259)</f>
        <v>28018</v>
      </c>
      <c r="M258" s="40"/>
      <c r="N258" s="40"/>
    </row>
    <row r="259" spans="1:14">
      <c r="A259" s="43"/>
      <c r="B259" s="15">
        <v>19159</v>
      </c>
      <c r="C259" s="15">
        <v>966</v>
      </c>
      <c r="D259" s="15">
        <v>123</v>
      </c>
      <c r="E259" s="15">
        <v>505</v>
      </c>
      <c r="F259" s="15">
        <v>501</v>
      </c>
      <c r="G259" s="15"/>
      <c r="H259" s="15"/>
      <c r="I259" s="12"/>
      <c r="J259" s="15"/>
      <c r="K259" s="12"/>
      <c r="L259" s="15"/>
      <c r="M259" s="40"/>
      <c r="N259" s="40"/>
    </row>
    <row r="260" spans="1:14">
      <c r="A260" s="43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40"/>
      <c r="N260" s="40"/>
    </row>
    <row r="261" spans="1:14">
      <c r="A261" s="52" t="s">
        <v>103</v>
      </c>
      <c r="B261" s="32" t="s">
        <v>203</v>
      </c>
      <c r="C261" s="32"/>
      <c r="D261" s="32" t="s">
        <v>1007</v>
      </c>
      <c r="E261" s="32"/>
      <c r="F261" s="32"/>
      <c r="G261" s="32"/>
      <c r="H261" s="32"/>
      <c r="I261" s="32"/>
      <c r="J261" s="29">
        <v>7555</v>
      </c>
      <c r="K261" s="32" t="s">
        <v>202</v>
      </c>
      <c r="L261" s="15">
        <f>SUM(B261:J262)</f>
        <v>24151</v>
      </c>
      <c r="M261" s="40"/>
      <c r="N261" s="40"/>
    </row>
    <row r="262" spans="1:14">
      <c r="A262" s="53"/>
      <c r="B262" s="29">
        <v>16281</v>
      </c>
      <c r="C262" s="29"/>
      <c r="D262" s="29">
        <v>315</v>
      </c>
      <c r="E262" s="29"/>
      <c r="F262" s="29"/>
      <c r="G262" s="29"/>
      <c r="H262" s="29"/>
      <c r="I262" s="32"/>
      <c r="J262" s="29"/>
      <c r="K262" s="29"/>
      <c r="L262" s="15"/>
      <c r="M262" s="40"/>
      <c r="N262" s="40"/>
    </row>
    <row r="263" spans="1:14">
      <c r="A263" s="40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40"/>
      <c r="N263" s="40"/>
    </row>
    <row r="264" spans="1:14">
      <c r="A264" s="42" t="s">
        <v>109</v>
      </c>
      <c r="B264" s="12" t="s">
        <v>1358</v>
      </c>
      <c r="C264" s="12" t="s">
        <v>1700</v>
      </c>
      <c r="D264" s="12" t="s">
        <v>352</v>
      </c>
      <c r="E264" s="12" t="s">
        <v>1008</v>
      </c>
      <c r="F264" s="12" t="s">
        <v>1358</v>
      </c>
      <c r="G264" s="12"/>
      <c r="H264" s="12"/>
      <c r="I264" s="15"/>
      <c r="J264" s="15">
        <v>9395</v>
      </c>
      <c r="K264" s="12" t="s">
        <v>1360</v>
      </c>
      <c r="L264" s="15">
        <f>SUM(B264:J265)</f>
        <v>31421</v>
      </c>
      <c r="M264" s="40"/>
      <c r="N264" s="40"/>
    </row>
    <row r="265" spans="1:14">
      <c r="A265" s="43"/>
      <c r="B265" s="15">
        <v>20220</v>
      </c>
      <c r="C265" s="15">
        <v>925</v>
      </c>
      <c r="D265" s="15">
        <v>85</v>
      </c>
      <c r="E265" s="15">
        <v>278</v>
      </c>
      <c r="F265" s="15">
        <v>518</v>
      </c>
      <c r="G265" s="15"/>
      <c r="H265" s="15"/>
      <c r="I265" s="15"/>
      <c r="J265" s="15"/>
      <c r="K265" s="15"/>
      <c r="L265" s="15"/>
      <c r="M265" s="40"/>
      <c r="N265" s="40"/>
    </row>
    <row r="266" spans="1:14">
      <c r="A266" s="43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40"/>
      <c r="N266" s="40"/>
    </row>
    <row r="267" spans="1:14">
      <c r="A267" s="52" t="s">
        <v>113</v>
      </c>
      <c r="B267" s="32" t="s">
        <v>203</v>
      </c>
      <c r="C267" s="32" t="s">
        <v>1701</v>
      </c>
      <c r="D267" s="32" t="s">
        <v>1701</v>
      </c>
      <c r="E267" s="32"/>
      <c r="F267" s="32"/>
      <c r="G267" s="32"/>
      <c r="H267" s="32"/>
      <c r="I267" s="29"/>
      <c r="J267" s="29">
        <v>6991</v>
      </c>
      <c r="K267" s="32" t="s">
        <v>1169</v>
      </c>
      <c r="L267" s="15">
        <f>SUM(B267:J268)</f>
        <v>31852</v>
      </c>
      <c r="M267" s="40"/>
      <c r="N267" s="40"/>
    </row>
    <row r="268" spans="1:14">
      <c r="A268" s="53"/>
      <c r="B268" s="29">
        <v>17561</v>
      </c>
      <c r="C268" s="29">
        <v>6300</v>
      </c>
      <c r="D268" s="29">
        <v>1000</v>
      </c>
      <c r="E268" s="29"/>
      <c r="F268" s="29"/>
      <c r="G268" s="29"/>
      <c r="H268" s="29"/>
      <c r="I268" s="29"/>
      <c r="J268" s="29"/>
      <c r="K268" s="29"/>
      <c r="L268" s="15"/>
      <c r="M268" s="40"/>
      <c r="N268" s="40"/>
    </row>
    <row r="269" spans="1:14">
      <c r="A269" s="43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40"/>
      <c r="N269" s="40"/>
    </row>
    <row r="270" spans="1:14">
      <c r="A270" s="42" t="s">
        <v>124</v>
      </c>
      <c r="B270" s="12" t="s">
        <v>125</v>
      </c>
      <c r="C270" s="12" t="s">
        <v>1526</v>
      </c>
      <c r="D270" s="12" t="s">
        <v>1526</v>
      </c>
      <c r="E270" s="12"/>
      <c r="F270" s="12" t="s">
        <v>313</v>
      </c>
      <c r="G270" s="12"/>
      <c r="H270" s="12"/>
      <c r="I270" s="12"/>
      <c r="J270" s="15">
        <v>7260</v>
      </c>
      <c r="K270" s="12" t="s">
        <v>126</v>
      </c>
      <c r="L270" s="15">
        <f>SUM(B270:J271)</f>
        <v>39198</v>
      </c>
      <c r="M270" s="40"/>
      <c r="N270" s="40"/>
    </row>
    <row r="271" spans="1:14">
      <c r="A271" s="43"/>
      <c r="B271" s="15">
        <v>25336</v>
      </c>
      <c r="C271" s="15">
        <v>4602</v>
      </c>
      <c r="D271" s="15">
        <v>835</v>
      </c>
      <c r="E271" s="15"/>
      <c r="F271" s="15">
        <v>1165</v>
      </c>
      <c r="G271" s="15"/>
      <c r="H271" s="15"/>
      <c r="I271" s="15"/>
      <c r="J271" s="15"/>
      <c r="K271" s="15"/>
      <c r="L271" s="15"/>
      <c r="M271" s="40"/>
      <c r="N271" s="40"/>
    </row>
    <row r="272" spans="1:14">
      <c r="A272" s="43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40"/>
      <c r="N272" s="40"/>
    </row>
    <row r="273" spans="1:14">
      <c r="A273" s="52" t="s">
        <v>130</v>
      </c>
      <c r="B273" s="32" t="s">
        <v>246</v>
      </c>
      <c r="C273" s="32" t="s">
        <v>1363</v>
      </c>
      <c r="D273" s="32" t="s">
        <v>1363</v>
      </c>
      <c r="E273" s="32"/>
      <c r="F273" s="32"/>
      <c r="G273" s="32"/>
      <c r="H273" s="32"/>
      <c r="I273" s="29"/>
      <c r="J273" s="29">
        <v>12493</v>
      </c>
      <c r="K273" s="32" t="s">
        <v>247</v>
      </c>
      <c r="L273" s="15">
        <f>SUM(B273:J274)</f>
        <v>42612</v>
      </c>
      <c r="M273" s="40"/>
      <c r="N273" s="40"/>
    </row>
    <row r="274" spans="1:14">
      <c r="A274" s="53"/>
      <c r="B274" s="29">
        <v>22953</v>
      </c>
      <c r="C274" s="29">
        <v>6128</v>
      </c>
      <c r="D274" s="29">
        <v>1038</v>
      </c>
      <c r="E274" s="29"/>
      <c r="F274" s="29"/>
      <c r="G274" s="29"/>
      <c r="H274" s="29"/>
      <c r="I274" s="29"/>
      <c r="J274" s="29"/>
      <c r="K274" s="29"/>
      <c r="L274" s="15"/>
      <c r="M274" s="40"/>
      <c r="N274" s="40"/>
    </row>
    <row r="275" spans="1:14">
      <c r="A275" s="43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40"/>
      <c r="N275" s="40"/>
    </row>
    <row r="276" spans="1:14">
      <c r="A276" s="42" t="s">
        <v>136</v>
      </c>
      <c r="B276" s="12" t="s">
        <v>204</v>
      </c>
      <c r="C276" s="12"/>
      <c r="D276" s="15"/>
      <c r="E276" s="12"/>
      <c r="F276" s="12" t="s">
        <v>204</v>
      </c>
      <c r="G276" s="12"/>
      <c r="H276" s="12"/>
      <c r="I276" s="15"/>
      <c r="J276" s="15">
        <v>9332</v>
      </c>
      <c r="K276" s="12" t="s">
        <v>205</v>
      </c>
      <c r="L276" s="15">
        <f>SUM(B276:J277)</f>
        <v>33043</v>
      </c>
      <c r="M276" s="40"/>
      <c r="N276" s="40"/>
    </row>
    <row r="277" spans="1:14">
      <c r="A277" s="43"/>
      <c r="B277" s="15">
        <v>23163</v>
      </c>
      <c r="C277" s="15"/>
      <c r="D277" s="15"/>
      <c r="E277" s="15"/>
      <c r="F277" s="15">
        <v>548</v>
      </c>
      <c r="G277" s="15"/>
      <c r="H277" s="15"/>
      <c r="I277" s="15"/>
      <c r="J277" s="15"/>
      <c r="K277" s="15"/>
      <c r="L277" s="15"/>
      <c r="M277" s="40"/>
      <c r="N277" s="40"/>
    </row>
    <row r="278" spans="1:14">
      <c r="A278" s="43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40"/>
      <c r="N278" s="40"/>
    </row>
    <row r="279" spans="1:14">
      <c r="A279" s="52" t="s">
        <v>140</v>
      </c>
      <c r="B279" s="29" t="s">
        <v>229</v>
      </c>
      <c r="C279" s="32"/>
      <c r="D279" s="29" t="s">
        <v>1702</v>
      </c>
      <c r="E279" s="32"/>
      <c r="F279" s="32"/>
      <c r="G279" s="32"/>
      <c r="H279" s="32"/>
      <c r="I279" s="29"/>
      <c r="J279" s="29">
        <v>9212</v>
      </c>
      <c r="K279" s="32" t="s">
        <v>88</v>
      </c>
      <c r="L279" s="15">
        <f>SUM(B279:J280)</f>
        <v>29545</v>
      </c>
      <c r="M279" s="40"/>
      <c r="N279" s="40"/>
    </row>
    <row r="280" spans="1:14">
      <c r="A280" s="53"/>
      <c r="B280" s="29">
        <v>20046</v>
      </c>
      <c r="C280" s="29"/>
      <c r="D280" s="29">
        <v>287</v>
      </c>
      <c r="E280" s="29"/>
      <c r="F280" s="29"/>
      <c r="G280" s="29"/>
      <c r="H280" s="29"/>
      <c r="I280" s="29"/>
      <c r="J280" s="29"/>
      <c r="K280" s="29"/>
      <c r="L280" s="15"/>
      <c r="M280" s="40"/>
      <c r="N280" s="40"/>
    </row>
    <row r="281" spans="1:14">
      <c r="A281" s="43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40"/>
      <c r="N281" s="40"/>
    </row>
    <row r="282" spans="1:14">
      <c r="A282" s="42" t="s">
        <v>144</v>
      </c>
      <c r="B282" s="15" t="s">
        <v>1366</v>
      </c>
      <c r="C282" s="12" t="s">
        <v>1703</v>
      </c>
      <c r="D282" s="15" t="s">
        <v>1703</v>
      </c>
      <c r="E282" s="15"/>
      <c r="F282" s="15" t="s">
        <v>1366</v>
      </c>
      <c r="G282" s="15"/>
      <c r="H282" s="15"/>
      <c r="I282" s="15"/>
      <c r="J282" s="15">
        <v>6975</v>
      </c>
      <c r="K282" s="12" t="s">
        <v>1369</v>
      </c>
      <c r="L282" s="15">
        <f>SUM(B282:J283)</f>
        <v>28488</v>
      </c>
      <c r="M282" s="40"/>
      <c r="N282" s="40"/>
    </row>
    <row r="283" spans="1:14">
      <c r="A283" s="43"/>
      <c r="B283" s="15">
        <v>19290</v>
      </c>
      <c r="C283" s="15">
        <v>1082</v>
      </c>
      <c r="D283" s="15">
        <v>180</v>
      </c>
      <c r="E283" s="15"/>
      <c r="F283" s="15">
        <v>961</v>
      </c>
      <c r="G283" s="15"/>
      <c r="H283" s="15"/>
      <c r="I283" s="15"/>
      <c r="J283" s="15"/>
      <c r="K283" s="15"/>
      <c r="L283" s="15"/>
      <c r="M283" s="40"/>
      <c r="N283" s="40"/>
    </row>
    <row r="284" spans="1:14">
      <c r="A284" s="43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40"/>
      <c r="N284" s="40"/>
    </row>
    <row r="285" spans="1:14">
      <c r="A285" s="52" t="s">
        <v>148</v>
      </c>
      <c r="B285" s="29" t="s">
        <v>1531</v>
      </c>
      <c r="C285" s="32" t="s">
        <v>1704</v>
      </c>
      <c r="D285" s="29" t="s">
        <v>1532</v>
      </c>
      <c r="E285" s="29"/>
      <c r="F285" s="29"/>
      <c r="G285" s="29"/>
      <c r="H285" s="29"/>
      <c r="I285" s="29"/>
      <c r="J285" s="29">
        <v>6804</v>
      </c>
      <c r="K285" s="32" t="s">
        <v>1533</v>
      </c>
      <c r="L285" s="15">
        <f>SUM(B285:J286)</f>
        <v>23482</v>
      </c>
      <c r="M285" s="40"/>
      <c r="N285" s="40"/>
    </row>
    <row r="286" spans="1:14">
      <c r="A286" s="53"/>
      <c r="B286" s="29">
        <v>15643</v>
      </c>
      <c r="C286" s="29">
        <v>908</v>
      </c>
      <c r="D286" s="29">
        <v>127</v>
      </c>
      <c r="E286" s="29"/>
      <c r="F286" s="29"/>
      <c r="G286" s="29"/>
      <c r="H286" s="29"/>
      <c r="I286" s="29"/>
      <c r="J286" s="29"/>
      <c r="K286" s="29"/>
      <c r="L286" s="15"/>
      <c r="M286" s="40"/>
      <c r="N286" s="40"/>
    </row>
    <row r="287" spans="1:14">
      <c r="A287" s="43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40"/>
      <c r="N287" s="40"/>
    </row>
    <row r="288" spans="1:14">
      <c r="A288" s="42" t="s">
        <v>153</v>
      </c>
      <c r="B288" s="15" t="s">
        <v>189</v>
      </c>
      <c r="C288" s="12"/>
      <c r="D288" s="12" t="s">
        <v>1705</v>
      </c>
      <c r="E288" s="15" t="s">
        <v>189</v>
      </c>
      <c r="F288" s="15"/>
      <c r="G288" s="15"/>
      <c r="H288" s="15"/>
      <c r="I288" s="15"/>
      <c r="J288" s="15">
        <v>13494</v>
      </c>
      <c r="K288" s="12" t="s">
        <v>433</v>
      </c>
      <c r="L288" s="15">
        <f>SUM(B288:J289)</f>
        <v>38244</v>
      </c>
      <c r="M288" s="40"/>
      <c r="N288" s="40"/>
    </row>
    <row r="289" spans="1:14">
      <c r="A289" s="43"/>
      <c r="B289" s="15">
        <v>22901</v>
      </c>
      <c r="C289" s="15"/>
      <c r="D289" s="15">
        <v>1044</v>
      </c>
      <c r="E289" s="15">
        <v>805</v>
      </c>
      <c r="F289" s="15"/>
      <c r="G289" s="15"/>
      <c r="H289" s="15"/>
      <c r="I289" s="15"/>
      <c r="J289" s="15"/>
      <c r="K289" s="15"/>
      <c r="L289" s="15"/>
      <c r="M289" s="40"/>
      <c r="N289" s="40"/>
    </row>
    <row r="290" spans="1:14">
      <c r="A290" s="43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40"/>
      <c r="N290" s="40"/>
    </row>
    <row r="291" spans="1:14">
      <c r="A291" s="52" t="s">
        <v>161</v>
      </c>
      <c r="B291" s="29" t="s">
        <v>206</v>
      </c>
      <c r="C291" s="32"/>
      <c r="D291" s="32"/>
      <c r="E291" s="29" t="s">
        <v>206</v>
      </c>
      <c r="F291" s="29" t="s">
        <v>206</v>
      </c>
      <c r="G291" s="29"/>
      <c r="H291" s="29"/>
      <c r="I291" s="29"/>
      <c r="J291" s="29">
        <v>23513</v>
      </c>
      <c r="K291" s="32" t="s">
        <v>207</v>
      </c>
      <c r="L291" s="15">
        <f>SUM(B291:J292)</f>
        <v>56617</v>
      </c>
      <c r="M291" s="40"/>
      <c r="N291" s="40"/>
    </row>
    <row r="292" spans="1:14">
      <c r="A292" s="53"/>
      <c r="B292" s="29">
        <v>30607</v>
      </c>
      <c r="C292" s="29"/>
      <c r="D292" s="29"/>
      <c r="E292" s="29">
        <v>1647</v>
      </c>
      <c r="F292" s="29">
        <v>850</v>
      </c>
      <c r="G292" s="29"/>
      <c r="H292" s="29"/>
      <c r="I292" s="29"/>
      <c r="J292" s="29"/>
      <c r="K292" s="29"/>
      <c r="L292" s="15"/>
      <c r="M292" s="40"/>
      <c r="N292" s="40"/>
    </row>
    <row r="293" spans="1:14">
      <c r="A293" s="43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40"/>
      <c r="N293" s="40"/>
    </row>
    <row r="294" spans="1:14">
      <c r="A294" s="42" t="s">
        <v>167</v>
      </c>
      <c r="B294" s="15" t="s">
        <v>1373</v>
      </c>
      <c r="C294" s="15" t="s">
        <v>1024</v>
      </c>
      <c r="D294" s="15" t="s">
        <v>1024</v>
      </c>
      <c r="E294" s="15" t="s">
        <v>1373</v>
      </c>
      <c r="F294" s="15" t="s">
        <v>1373</v>
      </c>
      <c r="G294" s="15"/>
      <c r="H294" s="15"/>
      <c r="I294" s="15"/>
      <c r="J294" s="15">
        <v>8527</v>
      </c>
      <c r="K294" s="12" t="s">
        <v>1374</v>
      </c>
      <c r="L294" s="15">
        <f>SUM(B294:J295)</f>
        <v>64151</v>
      </c>
      <c r="M294" s="40"/>
      <c r="N294" s="40"/>
    </row>
    <row r="295" spans="1:14">
      <c r="A295" s="43"/>
      <c r="B295" s="15">
        <v>30749</v>
      </c>
      <c r="C295" s="15">
        <v>21698</v>
      </c>
      <c r="D295" s="15">
        <v>1251</v>
      </c>
      <c r="E295" s="15">
        <v>1117</v>
      </c>
      <c r="F295" s="15">
        <v>809</v>
      </c>
      <c r="G295" s="15"/>
      <c r="H295" s="15"/>
      <c r="I295" s="15"/>
      <c r="J295" s="15"/>
      <c r="K295" s="15"/>
      <c r="L295" s="15"/>
      <c r="M295" s="40"/>
      <c r="N295" s="40"/>
    </row>
    <row r="296" spans="1:14">
      <c r="A296" s="43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40"/>
      <c r="N296" s="40"/>
    </row>
    <row r="297" spans="1:14">
      <c r="A297" s="52" t="s">
        <v>172</v>
      </c>
      <c r="B297" s="29" t="s">
        <v>1706</v>
      </c>
      <c r="C297" s="32"/>
      <c r="D297" s="32"/>
      <c r="E297" s="29" t="s">
        <v>230</v>
      </c>
      <c r="F297" s="29" t="s">
        <v>230</v>
      </c>
      <c r="G297" s="29"/>
      <c r="H297" s="29"/>
      <c r="I297" s="29"/>
      <c r="J297" s="29">
        <v>31952</v>
      </c>
      <c r="K297" s="32" t="s">
        <v>173</v>
      </c>
      <c r="L297" s="15">
        <f>SUM(B297:J298)</f>
        <v>64922</v>
      </c>
      <c r="M297" s="40"/>
      <c r="N297" s="40"/>
    </row>
    <row r="298" spans="1:14">
      <c r="A298" s="53"/>
      <c r="B298" s="29">
        <v>28999</v>
      </c>
      <c r="C298" s="29"/>
      <c r="D298" s="29"/>
      <c r="E298" s="29">
        <v>2517</v>
      </c>
      <c r="F298" s="29">
        <v>1454</v>
      </c>
      <c r="G298" s="29"/>
      <c r="H298" s="29"/>
      <c r="I298" s="29"/>
      <c r="J298" s="29"/>
      <c r="K298" s="29"/>
      <c r="L298" s="15"/>
      <c r="M298" s="40"/>
      <c r="N298" s="40"/>
    </row>
    <row r="299" spans="1:14">
      <c r="A299" s="43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40"/>
      <c r="N299" s="40"/>
    </row>
    <row r="300" spans="1:14">
      <c r="A300" s="42" t="s">
        <v>177</v>
      </c>
      <c r="B300" s="15" t="s">
        <v>1179</v>
      </c>
      <c r="C300" s="12" t="s">
        <v>1707</v>
      </c>
      <c r="D300" s="12" t="s">
        <v>1707</v>
      </c>
      <c r="E300" s="12" t="s">
        <v>1707</v>
      </c>
      <c r="F300" s="12" t="s">
        <v>1179</v>
      </c>
      <c r="G300" s="12"/>
      <c r="H300" s="12"/>
      <c r="I300" s="15"/>
      <c r="J300" s="15">
        <v>8530</v>
      </c>
      <c r="K300" s="12" t="s">
        <v>1180</v>
      </c>
      <c r="L300" s="15">
        <f>SUM(B300:J301)</f>
        <v>50493</v>
      </c>
      <c r="M300" s="40"/>
      <c r="N300" s="40"/>
    </row>
    <row r="301" spans="1:14">
      <c r="A301" s="43"/>
      <c r="B301" s="15">
        <v>26978</v>
      </c>
      <c r="C301" s="12">
        <v>12257</v>
      </c>
      <c r="D301" s="15">
        <v>793</v>
      </c>
      <c r="E301" s="15">
        <v>1214</v>
      </c>
      <c r="F301" s="15">
        <v>721</v>
      </c>
      <c r="G301" s="15"/>
      <c r="H301" s="15"/>
      <c r="I301" s="15"/>
      <c r="J301" s="15"/>
      <c r="K301" s="15"/>
      <c r="L301" s="15"/>
      <c r="M301" s="40"/>
      <c r="N301" s="40"/>
    </row>
    <row r="302" spans="1:14">
      <c r="A302" s="43"/>
      <c r="B302" s="15"/>
      <c r="C302" s="12"/>
      <c r="D302" s="15"/>
      <c r="E302" s="15"/>
      <c r="F302" s="15"/>
      <c r="G302" s="15"/>
      <c r="H302" s="15"/>
      <c r="I302" s="15"/>
      <c r="J302" s="15"/>
      <c r="K302" s="15"/>
      <c r="L302" s="15"/>
      <c r="M302" s="40"/>
      <c r="N302" s="40"/>
    </row>
    <row r="303" spans="1:14">
      <c r="A303" s="52" t="s">
        <v>6</v>
      </c>
      <c r="B303" s="29" t="s">
        <v>1376</v>
      </c>
      <c r="C303" s="32"/>
      <c r="D303" s="29"/>
      <c r="E303" s="29" t="s">
        <v>1376</v>
      </c>
      <c r="F303" s="29" t="s">
        <v>1376</v>
      </c>
      <c r="G303" s="29"/>
      <c r="H303" s="29"/>
      <c r="I303" s="29"/>
      <c r="J303" s="29">
        <v>26395</v>
      </c>
      <c r="K303" s="32" t="s">
        <v>1377</v>
      </c>
      <c r="L303" s="15">
        <f>SUM(B303:J304)</f>
        <v>62822</v>
      </c>
      <c r="M303" s="40"/>
      <c r="N303" s="40"/>
    </row>
    <row r="304" spans="1:14">
      <c r="A304" s="53"/>
      <c r="B304" s="29">
        <v>33323</v>
      </c>
      <c r="C304" s="29"/>
      <c r="D304" s="29"/>
      <c r="E304" s="29">
        <v>2087</v>
      </c>
      <c r="F304" s="29">
        <v>1017</v>
      </c>
      <c r="G304" s="29"/>
      <c r="H304" s="29"/>
      <c r="I304" s="29"/>
      <c r="J304" s="29"/>
      <c r="K304" s="29"/>
      <c r="L304" s="15"/>
      <c r="M304" s="40"/>
      <c r="N304" s="40"/>
    </row>
    <row r="305" spans="1:14">
      <c r="A305" s="43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40"/>
      <c r="N305" s="40"/>
    </row>
    <row r="306" spans="1:14">
      <c r="A306" s="42" t="s">
        <v>13</v>
      </c>
      <c r="B306" s="15" t="s">
        <v>1708</v>
      </c>
      <c r="C306" s="15" t="s">
        <v>1709</v>
      </c>
      <c r="D306" s="15" t="s">
        <v>1709</v>
      </c>
      <c r="E306" s="15" t="s">
        <v>1709</v>
      </c>
      <c r="F306" s="15"/>
      <c r="G306" s="15"/>
      <c r="H306" s="15"/>
      <c r="I306" s="15"/>
      <c r="J306" s="15">
        <v>11745</v>
      </c>
      <c r="K306" s="12" t="s">
        <v>1710</v>
      </c>
      <c r="L306" s="15">
        <f>SUM(B306:J307)</f>
        <v>51913</v>
      </c>
      <c r="M306" s="40"/>
      <c r="N306" s="40"/>
    </row>
    <row r="307" spans="1:14">
      <c r="A307" s="43"/>
      <c r="B307" s="15">
        <v>18877</v>
      </c>
      <c r="C307" s="15">
        <v>18027</v>
      </c>
      <c r="D307" s="15">
        <v>1998</v>
      </c>
      <c r="E307" s="15">
        <v>1266</v>
      </c>
      <c r="F307" s="15"/>
      <c r="G307" s="15"/>
      <c r="H307" s="15"/>
      <c r="I307" s="15"/>
      <c r="J307" s="15"/>
      <c r="K307" s="15"/>
      <c r="L307" s="15"/>
      <c r="M307" s="40"/>
      <c r="N307" s="40"/>
    </row>
    <row r="308" spans="1:14">
      <c r="A308" s="43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40"/>
      <c r="N308" s="40"/>
    </row>
    <row r="309" spans="1:14">
      <c r="A309" s="52" t="s">
        <v>22</v>
      </c>
      <c r="B309" s="29" t="s">
        <v>248</v>
      </c>
      <c r="C309" s="29"/>
      <c r="D309" s="29" t="s">
        <v>248</v>
      </c>
      <c r="E309" s="29"/>
      <c r="F309" s="29" t="s">
        <v>248</v>
      </c>
      <c r="G309" s="29"/>
      <c r="H309" s="29"/>
      <c r="I309" s="29"/>
      <c r="J309" s="29">
        <v>29973</v>
      </c>
      <c r="K309" s="32" t="s">
        <v>1537</v>
      </c>
      <c r="L309" s="15">
        <f>SUM(B309:J310)</f>
        <v>63581</v>
      </c>
      <c r="M309" s="40"/>
      <c r="N309" s="40"/>
    </row>
    <row r="310" spans="1:14">
      <c r="A310" s="53"/>
      <c r="B310" s="29">
        <v>29909</v>
      </c>
      <c r="C310" s="29"/>
      <c r="D310" s="29">
        <v>2276</v>
      </c>
      <c r="E310" s="29"/>
      <c r="F310" s="29">
        <v>1423</v>
      </c>
      <c r="G310" s="29"/>
      <c r="H310" s="29"/>
      <c r="I310" s="29"/>
      <c r="J310" s="29"/>
      <c r="K310" s="29"/>
      <c r="L310" s="15"/>
      <c r="M310" s="40"/>
      <c r="N310" s="40"/>
    </row>
    <row r="311" spans="1:14">
      <c r="A311" s="43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40"/>
      <c r="N311" s="40"/>
    </row>
    <row r="312" spans="1:14">
      <c r="A312" s="42" t="s">
        <v>28</v>
      </c>
      <c r="B312" s="15" t="s">
        <v>1711</v>
      </c>
      <c r="C312" s="12" t="s">
        <v>1712</v>
      </c>
      <c r="D312" s="12"/>
      <c r="E312" s="15" t="s">
        <v>1711</v>
      </c>
      <c r="F312" s="15" t="s">
        <v>1803</v>
      </c>
      <c r="G312" s="15"/>
      <c r="H312" s="15"/>
      <c r="I312" s="15" t="s">
        <v>1714</v>
      </c>
      <c r="J312" s="15">
        <v>11797</v>
      </c>
      <c r="K312" s="12" t="s">
        <v>1713</v>
      </c>
      <c r="L312" s="15">
        <f>SUM(B312:J313)</f>
        <v>54608</v>
      </c>
      <c r="M312" s="40"/>
      <c r="N312" s="40"/>
    </row>
    <row r="313" spans="1:14">
      <c r="A313" s="43"/>
      <c r="B313" s="15">
        <v>25783</v>
      </c>
      <c r="C313" s="15">
        <v>14110</v>
      </c>
      <c r="D313" s="15"/>
      <c r="E313" s="15">
        <v>1511</v>
      </c>
      <c r="F313" s="15">
        <v>996</v>
      </c>
      <c r="G313" s="15"/>
      <c r="H313" s="15"/>
      <c r="I313" s="15">
        <v>411</v>
      </c>
      <c r="J313" s="15"/>
      <c r="K313" s="15"/>
      <c r="L313" s="15"/>
      <c r="M313" s="40"/>
      <c r="N313" s="40"/>
    </row>
    <row r="314" spans="1:14">
      <c r="A314" s="43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40"/>
      <c r="N314" s="40"/>
    </row>
    <row r="315" spans="1:14">
      <c r="A315" s="52" t="s">
        <v>32</v>
      </c>
      <c r="B315" s="29" t="s">
        <v>1715</v>
      </c>
      <c r="C315" s="32" t="s">
        <v>438</v>
      </c>
      <c r="D315" s="32" t="s">
        <v>438</v>
      </c>
      <c r="E315" s="29"/>
      <c r="F315" s="29" t="s">
        <v>1715</v>
      </c>
      <c r="G315" s="29"/>
      <c r="H315" s="29"/>
      <c r="I315" s="29"/>
      <c r="J315" s="29">
        <v>7438</v>
      </c>
      <c r="K315" s="32" t="s">
        <v>1190</v>
      </c>
      <c r="L315" s="15">
        <f>SUM(B315:J316)</f>
        <v>60536</v>
      </c>
      <c r="M315" s="40"/>
      <c r="N315" s="40"/>
    </row>
    <row r="316" spans="1:14">
      <c r="A316" s="53"/>
      <c r="B316" s="29">
        <v>20315</v>
      </c>
      <c r="C316" s="29">
        <v>28755</v>
      </c>
      <c r="D316" s="29">
        <v>2820</v>
      </c>
      <c r="E316" s="29"/>
      <c r="F316" s="29">
        <v>1208</v>
      </c>
      <c r="G316" s="29"/>
      <c r="H316" s="29"/>
      <c r="I316" s="29"/>
      <c r="J316" s="29"/>
      <c r="K316" s="29" t="s">
        <v>33</v>
      </c>
      <c r="L316" s="15"/>
      <c r="M316" s="40"/>
      <c r="N316" s="40"/>
    </row>
    <row r="317" spans="1:14">
      <c r="A317" s="43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40"/>
      <c r="N317" s="40"/>
    </row>
    <row r="318" spans="1:14">
      <c r="A318" s="42" t="s">
        <v>39</v>
      </c>
      <c r="B318" s="15" t="s">
        <v>1716</v>
      </c>
      <c r="C318" s="12" t="s">
        <v>1029</v>
      </c>
      <c r="D318" s="12" t="s">
        <v>1029</v>
      </c>
      <c r="E318" s="15"/>
      <c r="F318" s="15" t="s">
        <v>1716</v>
      </c>
      <c r="G318" s="15"/>
      <c r="H318" s="15"/>
      <c r="I318" s="15"/>
      <c r="J318" s="15">
        <v>8991</v>
      </c>
      <c r="K318" s="12" t="s">
        <v>1030</v>
      </c>
      <c r="L318" s="15">
        <f>SUM(B318:J319)</f>
        <v>58739</v>
      </c>
      <c r="M318" s="40"/>
      <c r="N318" s="40"/>
    </row>
    <row r="319" spans="1:14">
      <c r="A319" s="43"/>
      <c r="B319" s="15">
        <v>23491</v>
      </c>
      <c r="C319" s="15">
        <v>23396</v>
      </c>
      <c r="D319" s="15">
        <v>1821</v>
      </c>
      <c r="E319" s="15"/>
      <c r="F319" s="15">
        <v>1040</v>
      </c>
      <c r="G319" s="15"/>
      <c r="H319" s="15"/>
      <c r="I319" s="15"/>
      <c r="J319" s="15"/>
      <c r="K319" s="15"/>
      <c r="L319" s="15"/>
      <c r="M319" s="40"/>
      <c r="N319" s="40"/>
    </row>
    <row r="320" spans="1:14">
      <c r="A320" s="43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40"/>
      <c r="N320" s="40"/>
    </row>
    <row r="321" spans="1:14">
      <c r="A321" s="52" t="s">
        <v>48</v>
      </c>
      <c r="B321" s="29" t="s">
        <v>241</v>
      </c>
      <c r="C321" s="32"/>
      <c r="D321" s="29"/>
      <c r="E321" s="29"/>
      <c r="F321" s="29" t="s">
        <v>241</v>
      </c>
      <c r="G321" s="29"/>
      <c r="H321" s="29"/>
      <c r="I321" s="29"/>
      <c r="J321" s="29">
        <v>21736</v>
      </c>
      <c r="K321" s="32" t="s">
        <v>242</v>
      </c>
      <c r="L321" s="15">
        <f>SUM(B321:J322)</f>
        <v>52844</v>
      </c>
      <c r="M321" s="40"/>
      <c r="N321" s="40"/>
    </row>
    <row r="322" spans="1:14">
      <c r="A322" s="53"/>
      <c r="B322" s="29">
        <v>28550</v>
      </c>
      <c r="C322" s="29"/>
      <c r="D322" s="29"/>
      <c r="E322" s="29"/>
      <c r="F322" s="29">
        <v>2558</v>
      </c>
      <c r="G322" s="29"/>
      <c r="H322" s="29"/>
      <c r="I322" s="29"/>
      <c r="J322" s="29"/>
      <c r="K322" s="29"/>
      <c r="L322" s="15"/>
      <c r="M322" s="40"/>
      <c r="N322" s="40"/>
    </row>
    <row r="323" spans="1:14">
      <c r="A323" s="43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40"/>
      <c r="N323" s="40"/>
    </row>
    <row r="324" spans="1:14">
      <c r="A324" s="42" t="s">
        <v>56</v>
      </c>
      <c r="B324" s="15"/>
      <c r="C324" s="12" t="s">
        <v>1540</v>
      </c>
      <c r="D324" s="12" t="s">
        <v>1540</v>
      </c>
      <c r="E324" s="12" t="s">
        <v>1540</v>
      </c>
      <c r="F324" s="12"/>
      <c r="G324" s="12"/>
      <c r="H324" s="12"/>
      <c r="I324" s="15"/>
      <c r="J324" s="15">
        <v>28603</v>
      </c>
      <c r="K324" s="12" t="s">
        <v>1717</v>
      </c>
      <c r="L324" s="15">
        <f>SUM(B324:J325)</f>
        <v>65229</v>
      </c>
      <c r="M324" s="40"/>
      <c r="N324" s="40"/>
    </row>
    <row r="325" spans="1:14">
      <c r="A325" s="43"/>
      <c r="B325" s="15"/>
      <c r="C325" s="15">
        <v>30788</v>
      </c>
      <c r="D325" s="15">
        <v>2773</v>
      </c>
      <c r="E325" s="15">
        <v>3065</v>
      </c>
      <c r="F325" s="15"/>
      <c r="G325" s="15"/>
      <c r="H325" s="15"/>
      <c r="I325" s="15"/>
      <c r="J325" s="15"/>
      <c r="K325" s="15"/>
      <c r="L325" s="15"/>
      <c r="M325" s="40"/>
      <c r="N325" s="40"/>
    </row>
    <row r="326" spans="1:14">
      <c r="A326" s="43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40"/>
      <c r="N326" s="40"/>
    </row>
    <row r="327" spans="1:14">
      <c r="A327" s="52" t="s">
        <v>1384</v>
      </c>
      <c r="B327" s="29" t="s">
        <v>1718</v>
      </c>
      <c r="C327" s="32" t="s">
        <v>1195</v>
      </c>
      <c r="D327" s="32" t="s">
        <v>1195</v>
      </c>
      <c r="E327" s="29"/>
      <c r="F327" s="29"/>
      <c r="G327" s="29"/>
      <c r="H327" s="29"/>
      <c r="I327" s="29"/>
      <c r="J327" s="29">
        <v>9863</v>
      </c>
      <c r="K327" s="32" t="s">
        <v>1196</v>
      </c>
      <c r="L327" s="15">
        <f>SUM(B327:J328)</f>
        <v>48562</v>
      </c>
      <c r="M327" s="40"/>
      <c r="N327" s="40"/>
    </row>
    <row r="328" spans="1:14">
      <c r="A328" s="53"/>
      <c r="B328" s="29">
        <v>15110</v>
      </c>
      <c r="C328" s="29">
        <v>21437</v>
      </c>
      <c r="D328" s="29">
        <v>2152</v>
      </c>
      <c r="E328" s="29"/>
      <c r="F328" s="29"/>
      <c r="G328" s="29"/>
      <c r="H328" s="29"/>
      <c r="I328" s="29"/>
      <c r="J328" s="29"/>
      <c r="K328" s="29"/>
      <c r="L328" s="15"/>
      <c r="M328" s="40"/>
      <c r="N328" s="40"/>
    </row>
    <row r="329" spans="1:14">
      <c r="A329" s="43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40"/>
      <c r="N329" s="40"/>
    </row>
    <row r="330" spans="1:14">
      <c r="A330" s="42" t="s">
        <v>63</v>
      </c>
      <c r="B330" s="15" t="s">
        <v>190</v>
      </c>
      <c r="C330" s="15"/>
      <c r="D330" s="15"/>
      <c r="E330" s="15" t="s">
        <v>190</v>
      </c>
      <c r="F330" s="15" t="s">
        <v>190</v>
      </c>
      <c r="G330" s="15"/>
      <c r="H330" s="15"/>
      <c r="I330" s="15"/>
      <c r="J330" s="15">
        <v>24494</v>
      </c>
      <c r="K330" s="12" t="s">
        <v>208</v>
      </c>
      <c r="L330" s="15">
        <f>SUM(B330:J331)</f>
        <v>65358</v>
      </c>
      <c r="M330" s="40"/>
      <c r="N330" s="40"/>
    </row>
    <row r="331" spans="1:14">
      <c r="A331" s="43"/>
      <c r="B331" s="15">
        <v>34730</v>
      </c>
      <c r="C331" s="15"/>
      <c r="D331" s="15"/>
      <c r="E331" s="15">
        <v>3641</v>
      </c>
      <c r="F331" s="15">
        <v>2493</v>
      </c>
      <c r="G331" s="15"/>
      <c r="H331" s="15"/>
      <c r="I331" s="15"/>
      <c r="J331" s="15"/>
      <c r="K331" s="15"/>
      <c r="L331" s="15"/>
      <c r="M331" s="40"/>
      <c r="N331" s="40"/>
    </row>
    <row r="332" spans="1:14">
      <c r="A332" s="43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40"/>
      <c r="N332" s="40"/>
    </row>
    <row r="333" spans="1:14">
      <c r="A333" s="52" t="s">
        <v>70</v>
      </c>
      <c r="B333" s="29" t="s">
        <v>1719</v>
      </c>
      <c r="C333" s="32" t="s">
        <v>231</v>
      </c>
      <c r="D333" s="32" t="s">
        <v>231</v>
      </c>
      <c r="E333" s="32" t="s">
        <v>1719</v>
      </c>
      <c r="F333" s="32"/>
      <c r="G333" s="32"/>
      <c r="H333" s="32"/>
      <c r="I333" s="29"/>
      <c r="J333" s="29">
        <v>9737</v>
      </c>
      <c r="K333" s="32" t="s">
        <v>1199</v>
      </c>
      <c r="L333" s="15">
        <f>SUM(B333:J334)</f>
        <v>58166</v>
      </c>
      <c r="M333" s="40"/>
      <c r="N333" s="40"/>
    </row>
    <row r="334" spans="1:14">
      <c r="A334" s="53"/>
      <c r="B334" s="29">
        <v>17425</v>
      </c>
      <c r="C334" s="29">
        <v>27365</v>
      </c>
      <c r="D334" s="29">
        <v>2585</v>
      </c>
      <c r="E334" s="29">
        <v>1054</v>
      </c>
      <c r="F334" s="29"/>
      <c r="G334" s="29"/>
      <c r="H334" s="29"/>
      <c r="I334" s="29"/>
      <c r="J334" s="29"/>
      <c r="K334" s="29"/>
      <c r="L334" s="15"/>
      <c r="M334" s="40"/>
      <c r="N334" s="40"/>
    </row>
    <row r="335" spans="1:14">
      <c r="A335" s="43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40"/>
      <c r="N335" s="40"/>
    </row>
    <row r="336" spans="1:14">
      <c r="A336" s="42" t="s">
        <v>78</v>
      </c>
      <c r="B336" s="15"/>
      <c r="C336" s="12" t="s">
        <v>1720</v>
      </c>
      <c r="D336" s="12" t="s">
        <v>1720</v>
      </c>
      <c r="E336" s="12"/>
      <c r="F336" s="12"/>
      <c r="G336" s="12"/>
      <c r="H336" s="12"/>
      <c r="I336" s="15"/>
      <c r="J336" s="15">
        <v>25444</v>
      </c>
      <c r="K336" s="12" t="s">
        <v>1721</v>
      </c>
      <c r="L336" s="15">
        <f>SUM(B336:J337)</f>
        <v>60251</v>
      </c>
      <c r="M336" s="40"/>
      <c r="N336" s="40"/>
    </row>
    <row r="337" spans="1:14">
      <c r="A337" s="43"/>
      <c r="B337" s="15"/>
      <c r="C337" s="15">
        <v>31281</v>
      </c>
      <c r="D337" s="15">
        <v>3526</v>
      </c>
      <c r="E337" s="15"/>
      <c r="F337" s="15"/>
      <c r="G337" s="15"/>
      <c r="H337" s="15"/>
      <c r="I337" s="15"/>
      <c r="J337" s="15"/>
      <c r="K337" s="15"/>
      <c r="L337" s="15"/>
      <c r="M337" s="40"/>
      <c r="N337" s="40"/>
    </row>
    <row r="338" spans="1:14">
      <c r="A338" s="43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40"/>
      <c r="N338" s="40"/>
    </row>
    <row r="339" spans="1:14">
      <c r="A339" s="52" t="s">
        <v>84</v>
      </c>
      <c r="B339" s="29" t="s">
        <v>1203</v>
      </c>
      <c r="C339" s="32" t="s">
        <v>1722</v>
      </c>
      <c r="D339" s="29"/>
      <c r="E339" s="29" t="s">
        <v>1205</v>
      </c>
      <c r="F339" s="29" t="s">
        <v>1205</v>
      </c>
      <c r="G339" s="29"/>
      <c r="H339" s="29"/>
      <c r="I339" s="29"/>
      <c r="J339" s="29">
        <v>9641</v>
      </c>
      <c r="K339" s="32" t="s">
        <v>1207</v>
      </c>
      <c r="L339" s="15">
        <f>SUM(B339:J340)</f>
        <v>64370</v>
      </c>
      <c r="M339" s="40"/>
      <c r="N339" s="40"/>
    </row>
    <row r="340" spans="1:14">
      <c r="A340" s="53"/>
      <c r="B340" s="29">
        <v>36814</v>
      </c>
      <c r="C340" s="29">
        <v>13934</v>
      </c>
      <c r="D340" s="29"/>
      <c r="E340" s="29">
        <v>2001</v>
      </c>
      <c r="F340" s="29">
        <v>1980</v>
      </c>
      <c r="G340" s="29"/>
      <c r="H340" s="29"/>
      <c r="I340" s="29"/>
      <c r="J340" s="29"/>
      <c r="K340" s="29"/>
      <c r="L340" s="15"/>
      <c r="M340" s="40"/>
      <c r="N340" s="40"/>
    </row>
    <row r="341" spans="1:14">
      <c r="A341" s="43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40"/>
      <c r="N341" s="40"/>
    </row>
    <row r="342" spans="1:14">
      <c r="A342" s="42" t="s">
        <v>89</v>
      </c>
      <c r="B342" s="15" t="s">
        <v>1545</v>
      </c>
      <c r="C342" s="12" t="s">
        <v>1723</v>
      </c>
      <c r="D342" s="12" t="s">
        <v>1723</v>
      </c>
      <c r="E342" s="15" t="s">
        <v>1547</v>
      </c>
      <c r="F342" s="15" t="s">
        <v>1547</v>
      </c>
      <c r="G342" s="15"/>
      <c r="H342" s="15"/>
      <c r="I342" s="15"/>
      <c r="J342" s="15">
        <v>6133</v>
      </c>
      <c r="K342" s="12" t="s">
        <v>1548</v>
      </c>
      <c r="L342" s="15">
        <f>SUM(B342:J343)</f>
        <v>56839</v>
      </c>
      <c r="M342" s="40"/>
      <c r="N342" s="40"/>
    </row>
    <row r="343" spans="1:14">
      <c r="A343" s="43"/>
      <c r="B343" s="15">
        <v>30522</v>
      </c>
      <c r="C343" s="15">
        <v>13556</v>
      </c>
      <c r="D343" s="15">
        <v>1845</v>
      </c>
      <c r="E343" s="15">
        <v>3186</v>
      </c>
      <c r="F343" s="15">
        <v>1597</v>
      </c>
      <c r="G343" s="15"/>
      <c r="H343" s="15"/>
      <c r="I343" s="15"/>
      <c r="J343" s="15"/>
      <c r="K343" s="15"/>
      <c r="L343" s="15"/>
      <c r="M343" s="40"/>
      <c r="N343" s="40"/>
    </row>
    <row r="344" spans="1:14">
      <c r="A344" s="40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40"/>
      <c r="N344" s="40"/>
    </row>
    <row r="345" spans="1:14">
      <c r="A345" s="52" t="s">
        <v>96</v>
      </c>
      <c r="B345" s="29" t="s">
        <v>1211</v>
      </c>
      <c r="C345" s="32"/>
      <c r="D345" s="32"/>
      <c r="E345" s="32" t="s">
        <v>1212</v>
      </c>
      <c r="F345" s="32" t="s">
        <v>1212</v>
      </c>
      <c r="G345" s="32"/>
      <c r="H345" s="32"/>
      <c r="I345" s="29"/>
      <c r="J345" s="29">
        <v>18880</v>
      </c>
      <c r="K345" s="32" t="s">
        <v>1213</v>
      </c>
      <c r="L345" s="15">
        <f>SUM(B345:J346)</f>
        <v>53965</v>
      </c>
      <c r="M345" s="40"/>
      <c r="N345" s="40"/>
    </row>
    <row r="346" spans="1:14">
      <c r="A346" s="53"/>
      <c r="B346" s="29">
        <v>29554</v>
      </c>
      <c r="C346" s="29"/>
      <c r="D346" s="29"/>
      <c r="E346" s="29">
        <v>3885</v>
      </c>
      <c r="F346" s="29">
        <v>1646</v>
      </c>
      <c r="G346" s="29"/>
      <c r="H346" s="29"/>
      <c r="I346" s="29"/>
      <c r="J346" s="29"/>
      <c r="K346" s="29"/>
      <c r="L346" s="15"/>
      <c r="M346" s="40"/>
      <c r="N346" s="40"/>
    </row>
    <row r="347" spans="1:14">
      <c r="A347" s="43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40"/>
      <c r="N347" s="40"/>
    </row>
    <row r="348" spans="1:14">
      <c r="A348" s="42" t="s">
        <v>99</v>
      </c>
      <c r="B348" s="15"/>
      <c r="C348" s="12" t="s">
        <v>232</v>
      </c>
      <c r="D348" s="12"/>
      <c r="E348" s="12"/>
      <c r="F348" s="12"/>
      <c r="G348" s="12"/>
      <c r="H348" s="12"/>
      <c r="I348" s="15"/>
      <c r="J348" s="15">
        <v>26324</v>
      </c>
      <c r="K348" s="12" t="s">
        <v>240</v>
      </c>
      <c r="L348" s="15">
        <f>SUM(B348:J349)</f>
        <v>58197</v>
      </c>
      <c r="M348" s="40"/>
      <c r="N348" s="40"/>
    </row>
    <row r="349" spans="1:14">
      <c r="A349" s="43"/>
      <c r="B349" s="15"/>
      <c r="C349" s="15">
        <v>31873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40"/>
      <c r="N349" s="40"/>
    </row>
    <row r="350" spans="1:14">
      <c r="A350" s="43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40"/>
      <c r="N350" s="40"/>
    </row>
    <row r="351" spans="1:14">
      <c r="A351" s="52" t="s">
        <v>111</v>
      </c>
      <c r="B351" s="29"/>
      <c r="C351" s="32" t="s">
        <v>1724</v>
      </c>
      <c r="D351" s="32" t="s">
        <v>1724</v>
      </c>
      <c r="E351" s="32" t="s">
        <v>1724</v>
      </c>
      <c r="F351" s="32"/>
      <c r="G351" s="32"/>
      <c r="H351" s="32"/>
      <c r="I351" s="29"/>
      <c r="J351" s="29">
        <v>29667</v>
      </c>
      <c r="K351" s="32" t="s">
        <v>1725</v>
      </c>
      <c r="L351" s="15">
        <f>SUM(B351:J352)</f>
        <v>68939</v>
      </c>
      <c r="M351" s="40"/>
      <c r="N351" s="40"/>
    </row>
    <row r="352" spans="1:14">
      <c r="A352" s="53"/>
      <c r="B352" s="29"/>
      <c r="C352" s="29">
        <v>30588</v>
      </c>
      <c r="D352" s="29">
        <v>2803</v>
      </c>
      <c r="E352" s="29">
        <v>5881</v>
      </c>
      <c r="F352" s="29"/>
      <c r="G352" s="29"/>
      <c r="H352" s="29"/>
      <c r="I352" s="29"/>
      <c r="J352" s="29"/>
      <c r="K352" s="29"/>
      <c r="L352" s="15"/>
      <c r="M352" s="40"/>
      <c r="N352" s="40"/>
    </row>
    <row r="353" spans="1:14">
      <c r="A353" s="43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40"/>
      <c r="N353" s="40"/>
    </row>
    <row r="354" spans="1:14">
      <c r="A354" s="42" t="s">
        <v>119</v>
      </c>
      <c r="B354" s="15" t="s">
        <v>1216</v>
      </c>
      <c r="C354" s="12" t="s">
        <v>1726</v>
      </c>
      <c r="D354" s="12" t="s">
        <v>1726</v>
      </c>
      <c r="E354" s="12" t="s">
        <v>1216</v>
      </c>
      <c r="F354" s="12" t="s">
        <v>1216</v>
      </c>
      <c r="G354" s="12"/>
      <c r="H354" s="12"/>
      <c r="I354" s="15" t="s">
        <v>1727</v>
      </c>
      <c r="J354" s="15">
        <v>6018</v>
      </c>
      <c r="K354" s="12" t="s">
        <v>1217</v>
      </c>
      <c r="L354" s="15">
        <f>SUM(B354:J355)</f>
        <v>72711</v>
      </c>
      <c r="M354" s="40"/>
      <c r="N354" s="40"/>
    </row>
    <row r="355" spans="1:14">
      <c r="A355" s="43"/>
      <c r="B355" s="15">
        <v>32967</v>
      </c>
      <c r="C355" s="15">
        <v>27520</v>
      </c>
      <c r="D355" s="15">
        <v>1748</v>
      </c>
      <c r="E355" s="15">
        <v>2867</v>
      </c>
      <c r="F355" s="15">
        <v>1028</v>
      </c>
      <c r="G355" s="15"/>
      <c r="H355" s="15"/>
      <c r="I355" s="15">
        <v>563</v>
      </c>
      <c r="J355" s="15"/>
      <c r="K355" s="15"/>
      <c r="L355" s="15"/>
      <c r="M355" s="40"/>
      <c r="N355" s="40"/>
    </row>
    <row r="356" spans="1:14">
      <c r="A356" s="43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40"/>
      <c r="N356" s="40"/>
    </row>
    <row r="357" spans="1:14">
      <c r="A357" s="52" t="s">
        <v>127</v>
      </c>
      <c r="B357" s="29" t="s">
        <v>1728</v>
      </c>
      <c r="C357" s="32" t="s">
        <v>878</v>
      </c>
      <c r="D357" s="32" t="s">
        <v>878</v>
      </c>
      <c r="E357" s="32" t="s">
        <v>878</v>
      </c>
      <c r="F357" s="32" t="s">
        <v>1728</v>
      </c>
      <c r="G357" s="32"/>
      <c r="H357" s="32"/>
      <c r="I357" s="29"/>
      <c r="J357" s="29">
        <v>7398</v>
      </c>
      <c r="K357" s="32" t="s">
        <v>880</v>
      </c>
      <c r="L357" s="15">
        <f>SUM(B357:J358)</f>
        <v>70222</v>
      </c>
      <c r="M357" s="40"/>
      <c r="N357" s="40"/>
    </row>
    <row r="358" spans="1:14">
      <c r="A358" s="53"/>
      <c r="B358" s="29">
        <v>19186</v>
      </c>
      <c r="C358" s="29">
        <v>35824</v>
      </c>
      <c r="D358" s="29">
        <v>2322</v>
      </c>
      <c r="E358" s="29">
        <v>4397</v>
      </c>
      <c r="F358" s="29">
        <v>1095</v>
      </c>
      <c r="G358" s="29"/>
      <c r="H358" s="29"/>
      <c r="I358" s="29"/>
      <c r="J358" s="29"/>
      <c r="K358" s="29"/>
      <c r="L358" s="15"/>
      <c r="M358" s="40"/>
      <c r="N358" s="40"/>
    </row>
    <row r="359" spans="1:14">
      <c r="A359" s="43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40"/>
      <c r="N359" s="40"/>
    </row>
    <row r="360" spans="1:14">
      <c r="A360" s="42" t="s">
        <v>131</v>
      </c>
      <c r="B360" s="15" t="s">
        <v>1219</v>
      </c>
      <c r="C360" s="12"/>
      <c r="D360" s="12"/>
      <c r="E360" s="12" t="s">
        <v>382</v>
      </c>
      <c r="F360" s="12"/>
      <c r="G360" s="12"/>
      <c r="H360" s="12"/>
      <c r="I360" s="12"/>
      <c r="J360" s="15">
        <v>22493</v>
      </c>
      <c r="K360" s="12" t="s">
        <v>132</v>
      </c>
      <c r="L360" s="15">
        <f>SUM(B360:J361)</f>
        <v>55359</v>
      </c>
      <c r="M360" s="40"/>
      <c r="N360" s="40"/>
    </row>
    <row r="361" spans="1:14">
      <c r="A361" s="43"/>
      <c r="B361" s="15">
        <v>26614</v>
      </c>
      <c r="C361" s="15"/>
      <c r="D361" s="15"/>
      <c r="E361" s="15">
        <v>6252</v>
      </c>
      <c r="F361" s="15"/>
      <c r="G361" s="15"/>
      <c r="H361" s="15"/>
      <c r="I361" s="15"/>
      <c r="J361" s="15"/>
      <c r="K361" s="15"/>
      <c r="L361" s="15"/>
      <c r="M361" s="40"/>
      <c r="N361" s="40"/>
    </row>
    <row r="362" spans="1:14">
      <c r="A362" s="43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40"/>
      <c r="N362" s="40"/>
    </row>
    <row r="363" spans="1:14">
      <c r="A363" s="52" t="s">
        <v>137</v>
      </c>
      <c r="B363" s="29"/>
      <c r="C363" s="32" t="s">
        <v>1395</v>
      </c>
      <c r="D363" s="32" t="s">
        <v>1395</v>
      </c>
      <c r="E363" s="32" t="s">
        <v>1395</v>
      </c>
      <c r="F363" s="32"/>
      <c r="G363" s="32"/>
      <c r="H363" s="32"/>
      <c r="I363" s="32"/>
      <c r="J363" s="29">
        <v>21798</v>
      </c>
      <c r="K363" s="32" t="s">
        <v>1554</v>
      </c>
      <c r="L363" s="15">
        <f>SUM(B363:J364)</f>
        <v>60960</v>
      </c>
      <c r="M363" s="40"/>
      <c r="N363" s="40"/>
    </row>
    <row r="364" spans="1:14">
      <c r="A364" s="53"/>
      <c r="B364" s="29"/>
      <c r="C364" s="29">
        <v>31966</v>
      </c>
      <c r="D364" s="29">
        <v>2333</v>
      </c>
      <c r="E364" s="29">
        <v>4863</v>
      </c>
      <c r="F364" s="29"/>
      <c r="G364" s="29"/>
      <c r="H364" s="29"/>
      <c r="I364" s="29"/>
      <c r="J364" s="29"/>
      <c r="K364" s="29"/>
      <c r="L364" s="15"/>
      <c r="M364" s="40"/>
      <c r="N364" s="40"/>
    </row>
    <row r="365" spans="1:14">
      <c r="A365" s="43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40"/>
      <c r="N365" s="40"/>
    </row>
    <row r="366" spans="1:14">
      <c r="A366" s="42" t="s">
        <v>146</v>
      </c>
      <c r="B366" s="15" t="s">
        <v>1043</v>
      </c>
      <c r="C366" s="12" t="s">
        <v>1222</v>
      </c>
      <c r="D366" s="12" t="s">
        <v>1222</v>
      </c>
      <c r="E366" s="12" t="s">
        <v>1222</v>
      </c>
      <c r="F366" s="12"/>
      <c r="G366" s="12"/>
      <c r="H366" s="12"/>
      <c r="I366" s="15"/>
      <c r="J366" s="15">
        <v>7412</v>
      </c>
      <c r="K366" s="12" t="s">
        <v>1223</v>
      </c>
      <c r="L366" s="15">
        <f>SUM(B366:J367)</f>
        <v>64996</v>
      </c>
      <c r="M366" s="40"/>
      <c r="N366" s="40"/>
    </row>
    <row r="367" spans="1:14">
      <c r="A367" s="43"/>
      <c r="B367" s="15">
        <v>19193</v>
      </c>
      <c r="C367" s="15">
        <v>33294</v>
      </c>
      <c r="D367" s="15">
        <v>1893</v>
      </c>
      <c r="E367" s="15">
        <v>3204</v>
      </c>
      <c r="F367" s="15"/>
      <c r="G367" s="15"/>
      <c r="H367" s="15"/>
      <c r="I367" s="15"/>
      <c r="J367" s="15"/>
      <c r="K367" s="15"/>
      <c r="L367" s="15"/>
      <c r="M367" s="40"/>
      <c r="N367" s="40"/>
    </row>
    <row r="368" spans="1:14">
      <c r="A368" s="43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40"/>
      <c r="N368" s="40"/>
    </row>
    <row r="369" spans="1:14">
      <c r="A369" s="52" t="s">
        <v>151</v>
      </c>
      <c r="B369" s="29" t="s">
        <v>1729</v>
      </c>
      <c r="C369" s="32" t="s">
        <v>1730</v>
      </c>
      <c r="D369" s="32" t="s">
        <v>1730</v>
      </c>
      <c r="E369" s="32" t="s">
        <v>1730</v>
      </c>
      <c r="F369" s="32"/>
      <c r="G369" s="32"/>
      <c r="H369" s="32"/>
      <c r="I369" s="29"/>
      <c r="J369" s="29">
        <v>2793</v>
      </c>
      <c r="K369" s="32" t="s">
        <v>1731</v>
      </c>
      <c r="L369" s="15">
        <f>SUM(B369:J370)</f>
        <v>53163</v>
      </c>
      <c r="M369" s="40"/>
      <c r="N369" s="40"/>
    </row>
    <row r="370" spans="1:14">
      <c r="A370" s="53"/>
      <c r="B370" s="29">
        <v>24257</v>
      </c>
      <c r="C370" s="29">
        <v>22695</v>
      </c>
      <c r="D370" s="29">
        <v>1157</v>
      </c>
      <c r="E370" s="29">
        <v>2261</v>
      </c>
      <c r="F370" s="29"/>
      <c r="G370" s="29"/>
      <c r="H370" s="29"/>
      <c r="I370" s="29"/>
      <c r="J370" s="29"/>
      <c r="K370" s="29"/>
      <c r="L370" s="15"/>
      <c r="M370" s="40"/>
      <c r="N370" s="40"/>
    </row>
    <row r="371" spans="1:14">
      <c r="A371" s="43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40"/>
      <c r="N371" s="40"/>
    </row>
    <row r="372" spans="1:14">
      <c r="A372" s="42" t="s">
        <v>157</v>
      </c>
      <c r="B372" s="15" t="s">
        <v>1214</v>
      </c>
      <c r="C372" s="12" t="s">
        <v>1392</v>
      </c>
      <c r="D372" s="12" t="s">
        <v>1392</v>
      </c>
      <c r="E372" s="12" t="s">
        <v>1392</v>
      </c>
      <c r="F372" s="12" t="s">
        <v>1392</v>
      </c>
      <c r="G372" s="12"/>
      <c r="H372" s="12"/>
      <c r="I372" s="12"/>
      <c r="J372" s="15">
        <v>7103</v>
      </c>
      <c r="K372" s="12" t="s">
        <v>1394</v>
      </c>
      <c r="L372" s="15">
        <f>SUM(B372:J373)</f>
        <v>58241</v>
      </c>
      <c r="M372" s="40"/>
      <c r="N372" s="40"/>
    </row>
    <row r="373" spans="1:14">
      <c r="A373" s="43"/>
      <c r="B373" s="15">
        <v>16359</v>
      </c>
      <c r="C373" s="15">
        <v>29410</v>
      </c>
      <c r="D373" s="15">
        <v>2244</v>
      </c>
      <c r="E373" s="15">
        <v>2313</v>
      </c>
      <c r="F373" s="15">
        <v>812</v>
      </c>
      <c r="G373" s="15"/>
      <c r="H373" s="15"/>
      <c r="I373" s="15"/>
      <c r="J373" s="15"/>
      <c r="K373" s="15"/>
      <c r="L373" s="15"/>
      <c r="M373" s="40"/>
      <c r="N373" s="40"/>
    </row>
    <row r="374" spans="1:14">
      <c r="A374" s="43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40"/>
      <c r="N374" s="40"/>
    </row>
    <row r="375" spans="1:14">
      <c r="A375" s="52" t="s">
        <v>165</v>
      </c>
      <c r="B375" s="29" t="s">
        <v>1225</v>
      </c>
      <c r="C375" s="32"/>
      <c r="D375" s="32"/>
      <c r="E375" s="32" t="s">
        <v>1732</v>
      </c>
      <c r="F375" s="32" t="s">
        <v>1226</v>
      </c>
      <c r="G375" s="32"/>
      <c r="H375" s="32"/>
      <c r="I375" s="29"/>
      <c r="J375" s="29">
        <v>10897</v>
      </c>
      <c r="K375" s="32" t="s">
        <v>1557</v>
      </c>
      <c r="L375" s="15">
        <f>SUM(B375:J376)</f>
        <v>46175</v>
      </c>
      <c r="M375" s="40"/>
      <c r="N375" s="40"/>
    </row>
    <row r="376" spans="1:14">
      <c r="A376" s="53"/>
      <c r="B376" s="29">
        <v>24660</v>
      </c>
      <c r="C376" s="29"/>
      <c r="D376" s="29"/>
      <c r="E376" s="29">
        <v>8011</v>
      </c>
      <c r="F376" s="29">
        <v>2607</v>
      </c>
      <c r="G376" s="29"/>
      <c r="H376" s="29"/>
      <c r="I376" s="29"/>
      <c r="J376" s="29"/>
      <c r="K376" s="29"/>
      <c r="L376" s="15"/>
      <c r="M376" s="40"/>
      <c r="N376" s="40"/>
    </row>
    <row r="377" spans="1:14">
      <c r="A377" s="43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40"/>
      <c r="N377" s="40"/>
    </row>
    <row r="378" spans="1:14">
      <c r="A378" s="42" t="s">
        <v>169</v>
      </c>
      <c r="B378" s="15"/>
      <c r="C378" s="12" t="s">
        <v>233</v>
      </c>
      <c r="D378" s="15" t="s">
        <v>233</v>
      </c>
      <c r="E378" s="15" t="s">
        <v>233</v>
      </c>
      <c r="F378" s="15"/>
      <c r="G378" s="15"/>
      <c r="H378" s="15"/>
      <c r="I378" s="12" t="s">
        <v>1733</v>
      </c>
      <c r="J378" s="15">
        <v>16866</v>
      </c>
      <c r="K378" s="12" t="s">
        <v>441</v>
      </c>
      <c r="L378" s="15">
        <f>SUM(B378:J379)</f>
        <v>55143</v>
      </c>
      <c r="M378" s="40"/>
      <c r="N378" s="40"/>
    </row>
    <row r="379" spans="1:14">
      <c r="A379" s="43"/>
      <c r="B379" s="15"/>
      <c r="C379" s="15">
        <v>29156</v>
      </c>
      <c r="D379" s="15">
        <v>2163</v>
      </c>
      <c r="E379" s="15">
        <v>3845</v>
      </c>
      <c r="F379" s="15"/>
      <c r="G379" s="15"/>
      <c r="H379" s="15"/>
      <c r="I379" s="15">
        <v>3113</v>
      </c>
      <c r="J379" s="15"/>
      <c r="K379" s="15"/>
      <c r="L379" s="15"/>
      <c r="M379" s="40"/>
      <c r="N379" s="40"/>
    </row>
    <row r="380" spans="1:14">
      <c r="A380" s="43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40"/>
      <c r="N380" s="40"/>
    </row>
    <row r="381" spans="1:14">
      <c r="A381" s="52" t="s">
        <v>175</v>
      </c>
      <c r="B381" s="29" t="s">
        <v>1558</v>
      </c>
      <c r="C381" s="32" t="s">
        <v>1734</v>
      </c>
      <c r="D381" s="32" t="s">
        <v>1734</v>
      </c>
      <c r="E381" s="32" t="s">
        <v>1734</v>
      </c>
      <c r="F381" s="29" t="s">
        <v>1558</v>
      </c>
      <c r="G381" s="32"/>
      <c r="H381" s="32"/>
      <c r="I381" s="29"/>
      <c r="J381" s="29">
        <v>2697</v>
      </c>
      <c r="K381" s="32" t="s">
        <v>1559</v>
      </c>
      <c r="L381" s="15">
        <f>SUM(B381:J382)</f>
        <v>48507</v>
      </c>
      <c r="M381" s="40"/>
      <c r="N381" s="40"/>
    </row>
    <row r="382" spans="1:14">
      <c r="A382" s="53"/>
      <c r="B382" s="29">
        <v>28229</v>
      </c>
      <c r="C382" s="29">
        <v>13725</v>
      </c>
      <c r="D382" s="29">
        <v>829</v>
      </c>
      <c r="E382" s="29">
        <v>1344</v>
      </c>
      <c r="F382" s="29">
        <v>1683</v>
      </c>
      <c r="G382" s="29"/>
      <c r="H382" s="29"/>
      <c r="I382" s="29"/>
      <c r="J382" s="29"/>
      <c r="K382" s="29"/>
      <c r="L382" s="15"/>
      <c r="M382" s="40"/>
      <c r="N382" s="40"/>
    </row>
    <row r="383" spans="1:14">
      <c r="A383" s="43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40"/>
      <c r="N383" s="40"/>
    </row>
    <row r="384" spans="1:14">
      <c r="A384" s="42" t="s">
        <v>178</v>
      </c>
      <c r="B384" s="15" t="s">
        <v>1397</v>
      </c>
      <c r="C384" s="12" t="s">
        <v>1735</v>
      </c>
      <c r="D384" s="12"/>
      <c r="E384" s="12"/>
      <c r="F384" s="15" t="s">
        <v>1397</v>
      </c>
      <c r="G384" s="12"/>
      <c r="H384" s="12"/>
      <c r="I384" s="12"/>
      <c r="J384" s="15">
        <v>7317</v>
      </c>
      <c r="K384" s="12" t="s">
        <v>1400</v>
      </c>
      <c r="L384" s="15">
        <f>SUM(B384:J385)</f>
        <v>56533</v>
      </c>
      <c r="M384" s="40"/>
      <c r="N384" s="40"/>
    </row>
    <row r="385" spans="1:14">
      <c r="A385" s="43"/>
      <c r="B385" s="15">
        <v>31617</v>
      </c>
      <c r="C385" s="15">
        <v>15515</v>
      </c>
      <c r="D385" s="15"/>
      <c r="E385" s="15"/>
      <c r="F385" s="15">
        <v>2084</v>
      </c>
      <c r="G385" s="15"/>
      <c r="H385" s="15"/>
      <c r="I385" s="15"/>
      <c r="J385" s="15"/>
      <c r="K385" s="15"/>
      <c r="L385" s="15"/>
      <c r="M385" s="40"/>
      <c r="N385" s="40"/>
    </row>
    <row r="386" spans="1:14">
      <c r="A386" s="43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40"/>
      <c r="N386" s="40"/>
    </row>
    <row r="387" spans="1:14">
      <c r="A387" s="53" t="s">
        <v>180</v>
      </c>
      <c r="B387" s="29" t="s">
        <v>191</v>
      </c>
      <c r="C387" s="29"/>
      <c r="D387" s="29" t="s">
        <v>1736</v>
      </c>
      <c r="E387" s="29"/>
      <c r="F387" s="29" t="s">
        <v>191</v>
      </c>
      <c r="G387" s="29"/>
      <c r="H387" s="29"/>
      <c r="I387" s="29"/>
      <c r="J387" s="29">
        <v>16201</v>
      </c>
      <c r="K387" s="32" t="s">
        <v>192</v>
      </c>
      <c r="L387" s="15">
        <f>SUM(B387:J388)</f>
        <v>50470</v>
      </c>
      <c r="M387" s="40"/>
      <c r="N387" s="40"/>
    </row>
    <row r="388" spans="1:14">
      <c r="A388" s="52"/>
      <c r="B388" s="29">
        <v>27644</v>
      </c>
      <c r="C388" s="29"/>
      <c r="D388" s="29">
        <v>4427</v>
      </c>
      <c r="E388" s="29"/>
      <c r="F388" s="29">
        <v>2198</v>
      </c>
      <c r="G388" s="29"/>
      <c r="H388" s="29"/>
      <c r="I388" s="29"/>
      <c r="J388" s="29"/>
      <c r="K388" s="29"/>
      <c r="L388" s="15"/>
      <c r="M388" s="40"/>
      <c r="N388" s="40"/>
    </row>
    <row r="389" spans="1:14">
      <c r="A389" s="42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40"/>
      <c r="N389" s="40"/>
    </row>
    <row r="390" spans="1:14">
      <c r="A390" s="43" t="s">
        <v>182</v>
      </c>
      <c r="B390" s="15" t="s">
        <v>1737</v>
      </c>
      <c r="C390" s="12" t="s">
        <v>1738</v>
      </c>
      <c r="D390" s="12" t="s">
        <v>1064</v>
      </c>
      <c r="E390" s="12" t="s">
        <v>1737</v>
      </c>
      <c r="F390" s="12" t="s">
        <v>1737</v>
      </c>
      <c r="G390" s="12"/>
      <c r="H390" s="12"/>
      <c r="I390" s="15" t="s">
        <v>1740</v>
      </c>
      <c r="J390" s="15">
        <v>7738</v>
      </c>
      <c r="K390" s="12" t="s">
        <v>1739</v>
      </c>
      <c r="L390" s="15">
        <f>SUM(B390:J391)</f>
        <v>67883</v>
      </c>
      <c r="M390" s="40"/>
      <c r="N390" s="40"/>
    </row>
    <row r="391" spans="1:14">
      <c r="A391" s="43"/>
      <c r="B391" s="15">
        <v>21530</v>
      </c>
      <c r="C391" s="15">
        <v>32088</v>
      </c>
      <c r="D391" s="15">
        <v>3313</v>
      </c>
      <c r="E391" s="15">
        <v>1614</v>
      </c>
      <c r="F391" s="15">
        <v>1166</v>
      </c>
      <c r="G391" s="15"/>
      <c r="H391" s="15"/>
      <c r="I391" s="15">
        <v>434</v>
      </c>
      <c r="J391" s="15"/>
      <c r="K391" s="15"/>
      <c r="L391" s="15"/>
      <c r="M391" s="40"/>
      <c r="N391" s="40"/>
    </row>
    <row r="392" spans="1:14">
      <c r="A392" s="43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40"/>
      <c r="N392" s="40"/>
    </row>
    <row r="393" spans="1:14">
      <c r="A393" s="52" t="s">
        <v>183</v>
      </c>
      <c r="B393" s="29"/>
      <c r="C393" s="32" t="s">
        <v>1403</v>
      </c>
      <c r="D393" s="32" t="s">
        <v>1403</v>
      </c>
      <c r="E393" s="32" t="s">
        <v>1403</v>
      </c>
      <c r="F393" s="32" t="s">
        <v>1403</v>
      </c>
      <c r="G393" s="32"/>
      <c r="H393" s="32"/>
      <c r="I393" s="29"/>
      <c r="J393" s="29">
        <v>13845</v>
      </c>
      <c r="K393" s="32" t="s">
        <v>1404</v>
      </c>
      <c r="L393" s="15">
        <f>SUM(B393:J394)</f>
        <v>46622</v>
      </c>
      <c r="M393" s="40"/>
      <c r="N393" s="40"/>
    </row>
    <row r="394" spans="1:14">
      <c r="A394" s="53"/>
      <c r="B394" s="29"/>
      <c r="C394" s="29">
        <v>26468</v>
      </c>
      <c r="D394" s="29">
        <v>1525</v>
      </c>
      <c r="E394" s="29">
        <v>3536</v>
      </c>
      <c r="F394" s="29">
        <v>1248</v>
      </c>
      <c r="G394" s="29"/>
      <c r="H394" s="29"/>
      <c r="I394" s="29"/>
      <c r="J394" s="29"/>
      <c r="K394" s="29"/>
      <c r="L394" s="15"/>
      <c r="M394" s="40"/>
      <c r="N394" s="40"/>
    </row>
    <row r="395" spans="1:14">
      <c r="A395" s="43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40"/>
      <c r="N395" s="40"/>
    </row>
    <row r="396" spans="1:14">
      <c r="A396" s="43" t="s">
        <v>184</v>
      </c>
      <c r="B396" s="15" t="s">
        <v>1741</v>
      </c>
      <c r="C396" s="15" t="s">
        <v>209</v>
      </c>
      <c r="D396" s="15" t="s">
        <v>209</v>
      </c>
      <c r="E396" s="15"/>
      <c r="F396" s="15" t="s">
        <v>1741</v>
      </c>
      <c r="G396" s="15"/>
      <c r="H396" s="15"/>
      <c r="I396" s="15"/>
      <c r="J396" s="15">
        <v>7080</v>
      </c>
      <c r="K396" s="12" t="s">
        <v>210</v>
      </c>
      <c r="L396" s="15">
        <f>SUM(B396:J397)</f>
        <v>57177</v>
      </c>
      <c r="M396" s="40"/>
      <c r="N396" s="40"/>
    </row>
    <row r="397" spans="1:14">
      <c r="A397" s="43"/>
      <c r="B397" s="15">
        <v>21129</v>
      </c>
      <c r="C397" s="15">
        <v>25529</v>
      </c>
      <c r="D397" s="15">
        <v>2017</v>
      </c>
      <c r="E397" s="15"/>
      <c r="F397" s="15">
        <v>1422</v>
      </c>
      <c r="G397" s="15"/>
      <c r="H397" s="15"/>
      <c r="I397" s="15"/>
      <c r="J397" s="15"/>
      <c r="K397" s="15"/>
      <c r="L397" s="15"/>
      <c r="M397" s="40"/>
      <c r="N397" s="40"/>
    </row>
    <row r="398" spans="1:14">
      <c r="A398" s="43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40"/>
      <c r="N398" s="40"/>
    </row>
    <row r="399" spans="1:14">
      <c r="A399" s="53" t="s">
        <v>185</v>
      </c>
      <c r="B399" s="29"/>
      <c r="C399" s="29" t="s">
        <v>234</v>
      </c>
      <c r="D399" s="29" t="s">
        <v>234</v>
      </c>
      <c r="E399" s="29" t="s">
        <v>234</v>
      </c>
      <c r="F399" s="29"/>
      <c r="G399" s="29"/>
      <c r="H399" s="29"/>
      <c r="I399" s="29"/>
      <c r="J399" s="29">
        <v>23882</v>
      </c>
      <c r="K399" s="32" t="s">
        <v>249</v>
      </c>
      <c r="L399" s="15">
        <f>SUM(B399:J400)</f>
        <v>63007</v>
      </c>
      <c r="M399" s="40"/>
      <c r="N399" s="40"/>
    </row>
    <row r="400" spans="1:14">
      <c r="A400" s="53"/>
      <c r="B400" s="29"/>
      <c r="C400" s="29">
        <v>31690</v>
      </c>
      <c r="D400" s="29">
        <v>2780</v>
      </c>
      <c r="E400" s="29">
        <v>4655</v>
      </c>
      <c r="F400" s="29"/>
      <c r="G400" s="29"/>
      <c r="H400" s="29"/>
      <c r="I400" s="29"/>
      <c r="J400" s="29"/>
      <c r="K400" s="29"/>
      <c r="L400" s="15"/>
      <c r="M400" s="40"/>
      <c r="N400" s="40"/>
    </row>
    <row r="401" spans="1:14">
      <c r="A401" s="40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40"/>
      <c r="N401" s="40"/>
    </row>
    <row r="402" spans="1:14">
      <c r="A402" s="42" t="s">
        <v>7</v>
      </c>
      <c r="B402" s="15" t="s">
        <v>235</v>
      </c>
      <c r="C402" s="15"/>
      <c r="D402" s="15"/>
      <c r="E402" s="15"/>
      <c r="F402" s="15" t="s">
        <v>235</v>
      </c>
      <c r="G402" s="15"/>
      <c r="H402" s="15"/>
      <c r="I402" s="15"/>
      <c r="J402" s="15">
        <v>22947</v>
      </c>
      <c r="K402" s="12" t="s">
        <v>236</v>
      </c>
      <c r="L402" s="15">
        <f>SUM(B402:J403)</f>
        <v>56141</v>
      </c>
      <c r="M402" s="40"/>
      <c r="N402" s="40"/>
    </row>
    <row r="403" spans="1:14">
      <c r="A403" s="43"/>
      <c r="B403" s="15">
        <v>29741</v>
      </c>
      <c r="C403" s="15"/>
      <c r="D403" s="15"/>
      <c r="E403" s="15"/>
      <c r="F403" s="15">
        <v>3453</v>
      </c>
      <c r="G403" s="15"/>
      <c r="H403" s="15"/>
      <c r="I403" s="15"/>
      <c r="J403" s="15"/>
      <c r="K403" s="15"/>
      <c r="L403" s="15"/>
      <c r="M403" s="40"/>
      <c r="N403" s="40"/>
    </row>
    <row r="404" spans="1:14">
      <c r="A404" s="43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40"/>
      <c r="N404" s="40"/>
    </row>
    <row r="405" spans="1:14">
      <c r="A405" s="52" t="s">
        <v>9</v>
      </c>
      <c r="B405" s="29" t="s">
        <v>237</v>
      </c>
      <c r="C405" s="32" t="s">
        <v>1742</v>
      </c>
      <c r="D405" s="32"/>
      <c r="E405" s="32"/>
      <c r="F405" s="32" t="s">
        <v>237</v>
      </c>
      <c r="G405" s="32"/>
      <c r="H405" s="32"/>
      <c r="I405" s="29"/>
      <c r="J405" s="29">
        <v>6755</v>
      </c>
      <c r="K405" s="32" t="s">
        <v>250</v>
      </c>
      <c r="L405" s="15">
        <f>SUM(B405:J406)</f>
        <v>59692</v>
      </c>
      <c r="M405" s="40"/>
      <c r="N405" s="40"/>
    </row>
    <row r="406" spans="1:14">
      <c r="A406" s="53"/>
      <c r="B406" s="29">
        <v>26950</v>
      </c>
      <c r="C406" s="29">
        <v>24253</v>
      </c>
      <c r="D406" s="29"/>
      <c r="E406" s="29"/>
      <c r="F406" s="29">
        <v>1734</v>
      </c>
      <c r="G406" s="29"/>
      <c r="H406" s="29"/>
      <c r="I406" s="29"/>
      <c r="J406" s="29"/>
      <c r="K406" s="29"/>
      <c r="L406" s="15"/>
      <c r="M406" s="40"/>
      <c r="N406" s="40"/>
    </row>
    <row r="407" spans="1:14">
      <c r="A407" s="43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40"/>
      <c r="N407" s="40"/>
    </row>
    <row r="408" spans="1:14">
      <c r="A408" s="42" t="s">
        <v>15</v>
      </c>
      <c r="B408" s="15" t="s">
        <v>1743</v>
      </c>
      <c r="C408" s="12" t="s">
        <v>1744</v>
      </c>
      <c r="D408" s="12" t="s">
        <v>1744</v>
      </c>
      <c r="E408" s="12"/>
      <c r="F408" s="12"/>
      <c r="G408" s="12"/>
      <c r="H408" s="12"/>
      <c r="I408" s="15"/>
      <c r="J408" s="15">
        <v>6163</v>
      </c>
      <c r="K408" s="12" t="s">
        <v>1745</v>
      </c>
      <c r="L408" s="15">
        <f>SUM(B408:J409)</f>
        <v>60126</v>
      </c>
      <c r="M408" s="40"/>
      <c r="N408" s="40"/>
    </row>
    <row r="409" spans="1:14">
      <c r="A409" s="43"/>
      <c r="B409" s="15">
        <v>24304</v>
      </c>
      <c r="C409" s="15">
        <v>27008</v>
      </c>
      <c r="D409" s="15">
        <v>2651</v>
      </c>
      <c r="E409" s="15"/>
      <c r="F409" s="15"/>
      <c r="G409" s="15"/>
      <c r="H409" s="15"/>
      <c r="I409" s="15"/>
      <c r="J409" s="15"/>
      <c r="K409" s="15"/>
      <c r="L409" s="15"/>
      <c r="M409" s="40"/>
      <c r="N409" s="40"/>
    </row>
    <row r="410" spans="1:14">
      <c r="A410" s="43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40"/>
      <c r="N410" s="40"/>
    </row>
    <row r="411" spans="1:14">
      <c r="A411" s="52" t="s">
        <v>17</v>
      </c>
      <c r="B411" s="29"/>
      <c r="C411" s="32" t="s">
        <v>1237</v>
      </c>
      <c r="D411" s="32" t="s">
        <v>251</v>
      </c>
      <c r="E411" s="32"/>
      <c r="F411" s="32"/>
      <c r="G411" s="32"/>
      <c r="H411" s="32"/>
      <c r="I411" s="29" t="s">
        <v>1746</v>
      </c>
      <c r="J411" s="29">
        <v>16495</v>
      </c>
      <c r="K411" s="32" t="s">
        <v>18</v>
      </c>
      <c r="L411" s="15">
        <f>SUM(B411:J412)</f>
        <v>55819</v>
      </c>
      <c r="M411" s="40"/>
      <c r="N411" s="40"/>
    </row>
    <row r="412" spans="1:14">
      <c r="A412" s="53"/>
      <c r="B412" s="29"/>
      <c r="C412" s="29">
        <v>30959</v>
      </c>
      <c r="D412" s="29">
        <v>4508</v>
      </c>
      <c r="E412" s="29"/>
      <c r="F412" s="29"/>
      <c r="G412" s="29"/>
      <c r="H412" s="29"/>
      <c r="I412" s="29">
        <v>3857</v>
      </c>
      <c r="J412" s="29"/>
      <c r="K412" s="29"/>
      <c r="L412" s="15"/>
      <c r="M412" s="40"/>
      <c r="N412" s="40"/>
    </row>
    <row r="413" spans="1:14">
      <c r="A413" s="43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40"/>
      <c r="N413" s="40"/>
    </row>
    <row r="414" spans="1:14">
      <c r="A414" s="42" t="s">
        <v>25</v>
      </c>
      <c r="B414" s="15" t="s">
        <v>1747</v>
      </c>
      <c r="C414" s="12" t="s">
        <v>211</v>
      </c>
      <c r="D414" s="12" t="s">
        <v>211</v>
      </c>
      <c r="E414" s="12" t="s">
        <v>965</v>
      </c>
      <c r="F414" s="15" t="s">
        <v>1747</v>
      </c>
      <c r="G414" s="12"/>
      <c r="H414" s="12"/>
      <c r="I414" s="15"/>
      <c r="J414" s="15">
        <v>5540</v>
      </c>
      <c r="K414" s="12" t="s">
        <v>212</v>
      </c>
      <c r="L414" s="15">
        <f>SUM(B414:J415)</f>
        <v>60191</v>
      </c>
      <c r="M414" s="40"/>
      <c r="N414" s="40"/>
    </row>
    <row r="415" spans="1:14">
      <c r="A415" s="43"/>
      <c r="B415" s="15">
        <v>22773</v>
      </c>
      <c r="C415" s="15">
        <v>25717</v>
      </c>
      <c r="D415" s="15">
        <v>2153</v>
      </c>
      <c r="E415" s="15">
        <v>2303</v>
      </c>
      <c r="F415" s="15">
        <v>1705</v>
      </c>
      <c r="G415" s="15"/>
      <c r="H415" s="15"/>
      <c r="I415" s="15"/>
      <c r="J415" s="15"/>
      <c r="K415" s="15"/>
      <c r="L415" s="15"/>
      <c r="M415" s="40"/>
      <c r="N415" s="40"/>
    </row>
    <row r="416" spans="1:14">
      <c r="A416" s="43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40"/>
      <c r="N416" s="40"/>
    </row>
    <row r="417" spans="1:14">
      <c r="A417" s="52" t="s">
        <v>31</v>
      </c>
      <c r="B417" s="29" t="s">
        <v>1748</v>
      </c>
      <c r="C417" s="32" t="s">
        <v>562</v>
      </c>
      <c r="D417" s="32" t="s">
        <v>562</v>
      </c>
      <c r="E417" s="32" t="s">
        <v>562</v>
      </c>
      <c r="F417" s="29" t="s">
        <v>1748</v>
      </c>
      <c r="G417" s="32"/>
      <c r="H417" s="32"/>
      <c r="I417" s="29"/>
      <c r="J417" s="29">
        <v>9949</v>
      </c>
      <c r="K417" s="32" t="s">
        <v>563</v>
      </c>
      <c r="L417" s="15">
        <f>SUM(B417:J418)</f>
        <v>66814</v>
      </c>
      <c r="M417" s="40"/>
      <c r="N417" s="40"/>
    </row>
    <row r="418" spans="1:14">
      <c r="A418" s="53"/>
      <c r="B418" s="29">
        <v>21753</v>
      </c>
      <c r="C418" s="29">
        <v>29852</v>
      </c>
      <c r="D418" s="29">
        <v>2312</v>
      </c>
      <c r="E418" s="29">
        <v>1651</v>
      </c>
      <c r="F418" s="29">
        <v>1297</v>
      </c>
      <c r="G418" s="29"/>
      <c r="H418" s="29"/>
      <c r="I418" s="29"/>
      <c r="J418" s="29"/>
      <c r="K418" s="29"/>
      <c r="L418" s="15"/>
      <c r="M418" s="40"/>
      <c r="N418" s="40"/>
    </row>
    <row r="419" spans="1:14">
      <c r="A419" s="43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40"/>
      <c r="N419" s="40"/>
    </row>
    <row r="420" spans="1:14">
      <c r="A420" s="42" t="s">
        <v>35</v>
      </c>
      <c r="B420" s="15" t="s">
        <v>1408</v>
      </c>
      <c r="C420" s="12" t="s">
        <v>1749</v>
      </c>
      <c r="D420" s="12" t="s">
        <v>1749</v>
      </c>
      <c r="E420" s="12" t="s">
        <v>1749</v>
      </c>
      <c r="F420" s="12" t="s">
        <v>1448</v>
      </c>
      <c r="G420" s="12"/>
      <c r="H420" s="12"/>
      <c r="I420" s="15"/>
      <c r="J420" s="15">
        <v>5814</v>
      </c>
      <c r="K420" s="12" t="s">
        <v>1411</v>
      </c>
      <c r="L420" s="15">
        <f>SUM(B420:J421)</f>
        <v>50608</v>
      </c>
      <c r="M420" s="40"/>
      <c r="N420" s="40"/>
    </row>
    <row r="421" spans="1:14">
      <c r="A421" s="43"/>
      <c r="B421" s="15">
        <v>21706</v>
      </c>
      <c r="C421" s="15">
        <v>17834</v>
      </c>
      <c r="D421" s="15">
        <v>1733</v>
      </c>
      <c r="E421" s="15">
        <v>1872</v>
      </c>
      <c r="F421" s="15">
        <v>1649</v>
      </c>
      <c r="G421" s="15"/>
      <c r="H421" s="15"/>
      <c r="I421" s="15"/>
      <c r="J421" s="15"/>
      <c r="K421" s="15"/>
      <c r="L421" s="15"/>
      <c r="M421" s="40"/>
      <c r="N421" s="40"/>
    </row>
    <row r="422" spans="1:14">
      <c r="A422" s="40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40"/>
      <c r="N422" s="40"/>
    </row>
    <row r="423" spans="1:14">
      <c r="A423" s="53" t="s">
        <v>44</v>
      </c>
      <c r="B423" s="29" t="s">
        <v>194</v>
      </c>
      <c r="C423" s="29"/>
      <c r="D423" s="29"/>
      <c r="E423" s="29"/>
      <c r="F423" s="29"/>
      <c r="G423" s="29"/>
      <c r="H423" s="29"/>
      <c r="I423" s="29"/>
      <c r="J423" s="29">
        <v>29332</v>
      </c>
      <c r="K423" s="29" t="s">
        <v>45</v>
      </c>
      <c r="L423" s="15">
        <f>SUM(B423:J424)</f>
        <v>64163</v>
      </c>
      <c r="M423" s="43"/>
      <c r="N423" s="43"/>
    </row>
    <row r="424" spans="1:14">
      <c r="A424" s="53"/>
      <c r="B424" s="29">
        <v>34831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15"/>
      <c r="M424" s="43"/>
      <c r="N424" s="43"/>
    </row>
    <row r="425" spans="1:14">
      <c r="A425" s="43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43"/>
      <c r="N425" s="43"/>
    </row>
    <row r="426" spans="1:14">
      <c r="A426" s="43" t="s">
        <v>49</v>
      </c>
      <c r="B426" s="15" t="s">
        <v>195</v>
      </c>
      <c r="C426" s="15"/>
      <c r="D426" s="15"/>
      <c r="E426" s="15"/>
      <c r="F426" s="15"/>
      <c r="G426" s="15"/>
      <c r="H426" s="15"/>
      <c r="I426" s="15"/>
      <c r="J426" s="15">
        <v>17040</v>
      </c>
      <c r="K426" s="15" t="s">
        <v>50</v>
      </c>
      <c r="L426" s="15">
        <f>SUM(B426:J427)</f>
        <v>39090</v>
      </c>
      <c r="M426" s="43"/>
      <c r="N426" s="43"/>
    </row>
    <row r="427" spans="1:14">
      <c r="A427" s="43"/>
      <c r="B427" s="15">
        <v>22050</v>
      </c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43"/>
      <c r="N427" s="43"/>
    </row>
    <row r="428" spans="1:14">
      <c r="A428" s="43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43"/>
      <c r="N428" s="43"/>
    </row>
    <row r="429" spans="1:14">
      <c r="A429" s="53" t="s">
        <v>57</v>
      </c>
      <c r="B429" s="29" t="s">
        <v>1750</v>
      </c>
      <c r="C429" s="29" t="s">
        <v>1051</v>
      </c>
      <c r="D429" s="29" t="s">
        <v>1051</v>
      </c>
      <c r="E429" s="29" t="s">
        <v>1051</v>
      </c>
      <c r="F429" s="29" t="s">
        <v>1750</v>
      </c>
      <c r="G429" s="29"/>
      <c r="H429" s="29"/>
      <c r="I429" s="29"/>
      <c r="J429" s="29">
        <v>12738</v>
      </c>
      <c r="K429" s="29" t="s">
        <v>1052</v>
      </c>
      <c r="L429" s="15">
        <f>SUM(B429:J430)</f>
        <v>63669</v>
      </c>
      <c r="M429" s="43"/>
      <c r="N429" s="43"/>
    </row>
    <row r="430" spans="1:14">
      <c r="A430" s="53"/>
      <c r="B430" s="29">
        <v>16274</v>
      </c>
      <c r="C430" s="29">
        <v>28722</v>
      </c>
      <c r="D430" s="29">
        <v>2848</v>
      </c>
      <c r="E430" s="29">
        <v>1924</v>
      </c>
      <c r="F430" s="29">
        <v>1163</v>
      </c>
      <c r="G430" s="29"/>
      <c r="H430" s="29"/>
      <c r="I430" s="29"/>
      <c r="J430" s="29"/>
      <c r="K430" s="29"/>
      <c r="L430" s="15"/>
      <c r="M430" s="43"/>
      <c r="N430" s="43"/>
    </row>
    <row r="431" spans="1:14">
      <c r="A431" s="43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43"/>
      <c r="N431" s="43"/>
    </row>
    <row r="432" spans="1:14">
      <c r="A432" s="43" t="s">
        <v>60</v>
      </c>
      <c r="B432" s="15" t="s">
        <v>1053</v>
      </c>
      <c r="C432" s="15" t="s">
        <v>321</v>
      </c>
      <c r="D432" s="15" t="s">
        <v>321</v>
      </c>
      <c r="E432" s="15" t="s">
        <v>1053</v>
      </c>
      <c r="F432" s="15" t="s">
        <v>1053</v>
      </c>
      <c r="G432" s="15"/>
      <c r="H432" s="15"/>
      <c r="I432" s="15"/>
      <c r="J432" s="15">
        <v>7415</v>
      </c>
      <c r="K432" s="15" t="s">
        <v>1414</v>
      </c>
      <c r="L432" s="15">
        <f>SUM(B432:J433)</f>
        <v>73560</v>
      </c>
      <c r="M432" s="43"/>
      <c r="N432" s="43"/>
    </row>
    <row r="433" spans="1:14">
      <c r="A433" s="43"/>
      <c r="B433" s="15">
        <v>35781</v>
      </c>
      <c r="C433" s="15">
        <v>23344</v>
      </c>
      <c r="D433" s="15">
        <v>2546</v>
      </c>
      <c r="E433" s="15">
        <v>3056</v>
      </c>
      <c r="F433" s="15">
        <v>1418</v>
      </c>
      <c r="G433" s="15"/>
      <c r="H433" s="15"/>
      <c r="I433" s="15"/>
      <c r="J433" s="15"/>
      <c r="K433" s="15"/>
      <c r="L433" s="15"/>
      <c r="M433" s="43"/>
      <c r="N433" s="43"/>
    </row>
    <row r="434" spans="1:14">
      <c r="A434" s="43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43"/>
      <c r="N434" s="43"/>
    </row>
    <row r="435" spans="1:14">
      <c r="A435" s="53" t="s">
        <v>66</v>
      </c>
      <c r="B435" s="29"/>
      <c r="C435" s="29" t="s">
        <v>1415</v>
      </c>
      <c r="D435" s="29" t="s">
        <v>1415</v>
      </c>
      <c r="E435" s="29"/>
      <c r="F435" s="29"/>
      <c r="G435" s="29"/>
      <c r="H435" s="29"/>
      <c r="I435" s="29"/>
      <c r="J435" s="29">
        <v>17782</v>
      </c>
      <c r="K435" s="29" t="s">
        <v>1416</v>
      </c>
      <c r="L435" s="15">
        <f>SUM(B435:J436)</f>
        <v>53452</v>
      </c>
      <c r="M435" s="43"/>
      <c r="N435" s="43"/>
    </row>
    <row r="436" spans="1:14">
      <c r="A436" s="53"/>
      <c r="B436" s="29"/>
      <c r="C436" s="29">
        <v>33257</v>
      </c>
      <c r="D436" s="29">
        <v>2413</v>
      </c>
      <c r="E436" s="29"/>
      <c r="F436" s="29"/>
      <c r="G436" s="29"/>
      <c r="H436" s="29"/>
      <c r="I436" s="29"/>
      <c r="J436" s="29"/>
      <c r="K436" s="29"/>
      <c r="L436" s="15"/>
      <c r="M436" s="43"/>
      <c r="N436" s="43"/>
    </row>
    <row r="437" spans="1:14">
      <c r="A437" s="43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43"/>
      <c r="N437" s="43"/>
    </row>
    <row r="438" spans="1:14">
      <c r="A438" s="43" t="s">
        <v>74</v>
      </c>
      <c r="B438" s="15" t="s">
        <v>1245</v>
      </c>
      <c r="C438" s="15" t="s">
        <v>1417</v>
      </c>
      <c r="D438" s="15" t="s">
        <v>1417</v>
      </c>
      <c r="E438" s="15" t="s">
        <v>1245</v>
      </c>
      <c r="F438" s="15" t="s">
        <v>1245</v>
      </c>
      <c r="G438" s="15"/>
      <c r="H438" s="15"/>
      <c r="I438" s="15"/>
      <c r="J438" s="15">
        <v>4460</v>
      </c>
      <c r="K438" s="15" t="s">
        <v>1572</v>
      </c>
      <c r="L438" s="15">
        <f>SUM(B438:J439)</f>
        <v>54538</v>
      </c>
      <c r="M438" s="43"/>
      <c r="N438" s="43"/>
    </row>
    <row r="439" spans="1:14">
      <c r="A439" s="43"/>
      <c r="B439" s="15">
        <v>20584</v>
      </c>
      <c r="C439" s="15">
        <v>25610</v>
      </c>
      <c r="D439" s="15">
        <v>1489</v>
      </c>
      <c r="E439" s="15">
        <v>1446</v>
      </c>
      <c r="F439" s="15">
        <v>949</v>
      </c>
      <c r="G439" s="15"/>
      <c r="H439" s="15"/>
      <c r="I439" s="15"/>
      <c r="J439" s="15"/>
      <c r="K439" s="15"/>
      <c r="L439" s="15"/>
      <c r="M439" s="43"/>
      <c r="N439" s="43"/>
    </row>
    <row r="440" spans="1:14">
      <c r="A440" s="43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43"/>
      <c r="N440" s="43"/>
    </row>
    <row r="441" spans="1:14">
      <c r="A441" s="53" t="s">
        <v>81</v>
      </c>
      <c r="B441" s="29" t="s">
        <v>1248</v>
      </c>
      <c r="C441" s="29" t="s">
        <v>1751</v>
      </c>
      <c r="D441" s="29" t="s">
        <v>1751</v>
      </c>
      <c r="E441" s="29" t="s">
        <v>1248</v>
      </c>
      <c r="F441" s="29" t="s">
        <v>1248</v>
      </c>
      <c r="G441" s="29"/>
      <c r="H441" s="29"/>
      <c r="I441" s="29"/>
      <c r="J441" s="29">
        <v>5972</v>
      </c>
      <c r="K441" s="29" t="s">
        <v>1420</v>
      </c>
      <c r="L441" s="15">
        <f>SUM(B441:J442)</f>
        <v>55188</v>
      </c>
      <c r="M441" s="43"/>
      <c r="N441" s="43"/>
    </row>
    <row r="442" spans="1:14">
      <c r="A442" s="53"/>
      <c r="B442" s="29">
        <v>27716</v>
      </c>
      <c r="C442" s="29">
        <v>15881</v>
      </c>
      <c r="D442" s="29">
        <v>1909</v>
      </c>
      <c r="E442" s="29">
        <v>2088</v>
      </c>
      <c r="F442" s="29">
        <v>1622</v>
      </c>
      <c r="G442" s="29"/>
      <c r="H442" s="29"/>
      <c r="I442" s="29"/>
      <c r="J442" s="29"/>
      <c r="K442" s="29"/>
      <c r="L442" s="15"/>
      <c r="M442" s="43"/>
      <c r="N442" s="43"/>
    </row>
    <row r="443" spans="1:14">
      <c r="A443" s="43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43"/>
      <c r="N443" s="43"/>
    </row>
    <row r="444" spans="1:14">
      <c r="A444" s="43" t="s">
        <v>86</v>
      </c>
      <c r="B444" s="15"/>
      <c r="C444" s="15" t="s">
        <v>1752</v>
      </c>
      <c r="D444" s="15" t="s">
        <v>1752</v>
      </c>
      <c r="E444" s="15" t="s">
        <v>1752</v>
      </c>
      <c r="F444" s="15"/>
      <c r="G444" s="15"/>
      <c r="H444" s="15"/>
      <c r="I444" s="15"/>
      <c r="J444" s="15">
        <v>18619</v>
      </c>
      <c r="K444" s="15" t="s">
        <v>1753</v>
      </c>
      <c r="L444" s="15">
        <f>SUM(B444:J445)</f>
        <v>55973</v>
      </c>
      <c r="M444" s="43"/>
      <c r="N444" s="43"/>
    </row>
    <row r="445" spans="1:14">
      <c r="A445" s="43"/>
      <c r="B445" s="15"/>
      <c r="C445" s="15">
        <v>31575</v>
      </c>
      <c r="D445" s="15">
        <v>2796</v>
      </c>
      <c r="E445" s="15">
        <v>2983</v>
      </c>
      <c r="F445" s="15"/>
      <c r="G445" s="15"/>
      <c r="H445" s="15"/>
      <c r="I445" s="15"/>
      <c r="J445" s="15"/>
      <c r="K445" s="15"/>
      <c r="L445" s="15"/>
      <c r="M445" s="43"/>
      <c r="N445" s="43"/>
    </row>
    <row r="446" spans="1:14">
      <c r="A446" s="43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43"/>
      <c r="N446" s="43"/>
    </row>
    <row r="447" spans="1:14" ht="17.25">
      <c r="A447" s="43" t="s">
        <v>1794</v>
      </c>
      <c r="B447" s="15" t="s">
        <v>1575</v>
      </c>
      <c r="C447" s="15" t="s">
        <v>254</v>
      </c>
      <c r="D447" s="15" t="s">
        <v>254</v>
      </c>
      <c r="E447" s="15" t="s">
        <v>254</v>
      </c>
      <c r="F447" s="15"/>
      <c r="G447" s="15"/>
      <c r="H447" s="15"/>
      <c r="I447" s="15"/>
      <c r="J447" s="15">
        <v>80</v>
      </c>
      <c r="K447" s="15" t="s">
        <v>255</v>
      </c>
      <c r="L447" s="15">
        <f>SUM(B447:J448)</f>
        <v>9758</v>
      </c>
      <c r="M447" s="43"/>
      <c r="N447" s="43"/>
    </row>
    <row r="448" spans="1:14">
      <c r="A448" s="43"/>
      <c r="B448" s="15">
        <v>3428</v>
      </c>
      <c r="C448" s="15">
        <v>5349</v>
      </c>
      <c r="D448" s="15">
        <v>535</v>
      </c>
      <c r="E448" s="15">
        <v>366</v>
      </c>
      <c r="F448" s="15"/>
      <c r="G448" s="15"/>
      <c r="H448" s="15"/>
      <c r="I448" s="15"/>
      <c r="J448" s="15"/>
      <c r="K448" s="15"/>
      <c r="L448" s="15"/>
      <c r="M448" s="43"/>
      <c r="N448" s="43"/>
    </row>
    <row r="449" spans="1:14">
      <c r="A449" s="43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43"/>
      <c r="N449" s="43"/>
    </row>
    <row r="450" spans="1:14">
      <c r="A450" s="53" t="s">
        <v>1576</v>
      </c>
      <c r="B450" s="29" t="s">
        <v>193</v>
      </c>
      <c r="C450" s="29" t="s">
        <v>1754</v>
      </c>
      <c r="D450" s="29" t="s">
        <v>193</v>
      </c>
      <c r="E450" s="29" t="s">
        <v>193</v>
      </c>
      <c r="F450" s="29"/>
      <c r="G450" s="29"/>
      <c r="H450" s="29"/>
      <c r="I450" s="29"/>
      <c r="J450" s="29">
        <v>8282</v>
      </c>
      <c r="K450" s="29" t="s">
        <v>196</v>
      </c>
      <c r="L450" s="15">
        <f>SUM(B450:J451)</f>
        <v>63364</v>
      </c>
      <c r="M450" s="43"/>
      <c r="N450" s="43"/>
    </row>
    <row r="451" spans="1:14">
      <c r="A451" s="53"/>
      <c r="B451" s="29">
        <v>34828</v>
      </c>
      <c r="C451" s="29">
        <v>15308</v>
      </c>
      <c r="D451" s="29">
        <v>2301</v>
      </c>
      <c r="E451" s="29">
        <v>2645</v>
      </c>
      <c r="F451" s="29"/>
      <c r="G451" s="29"/>
      <c r="H451" s="29"/>
      <c r="I451" s="29"/>
      <c r="J451" s="29"/>
      <c r="K451" s="29"/>
      <c r="L451" s="15"/>
      <c r="M451" s="43"/>
      <c r="N451" s="43"/>
    </row>
    <row r="452" spans="1:14">
      <c r="A452" s="43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43"/>
      <c r="N452" s="43"/>
    </row>
    <row r="453" spans="1:14">
      <c r="A453" s="43" t="s">
        <v>100</v>
      </c>
      <c r="B453" s="15" t="s">
        <v>1055</v>
      </c>
      <c r="C453" s="15" t="s">
        <v>1525</v>
      </c>
      <c r="D453" s="15"/>
      <c r="E453" s="15" t="s">
        <v>1055</v>
      </c>
      <c r="F453" s="15"/>
      <c r="G453" s="15"/>
      <c r="H453" s="15"/>
      <c r="I453" s="15"/>
      <c r="J453" s="15">
        <v>6698</v>
      </c>
      <c r="K453" s="15" t="s">
        <v>1057</v>
      </c>
      <c r="L453" s="15">
        <f>SUM(B453:J454)</f>
        <v>44644</v>
      </c>
      <c r="M453" s="43"/>
      <c r="N453" s="43"/>
    </row>
    <row r="454" spans="1:14">
      <c r="A454" s="43"/>
      <c r="B454" s="15">
        <v>32519</v>
      </c>
      <c r="C454" s="15">
        <v>3339</v>
      </c>
      <c r="D454" s="15"/>
      <c r="E454" s="15">
        <v>2088</v>
      </c>
      <c r="F454" s="15"/>
      <c r="G454" s="15"/>
      <c r="H454" s="15"/>
      <c r="I454" s="15"/>
      <c r="J454" s="15"/>
      <c r="K454" s="15"/>
      <c r="L454" s="15"/>
      <c r="M454" s="43"/>
      <c r="N454" s="43"/>
    </row>
    <row r="455" spans="1:14">
      <c r="A455" s="43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43"/>
      <c r="N455" s="43"/>
    </row>
    <row r="456" spans="1:14">
      <c r="A456" s="53" t="s">
        <v>105</v>
      </c>
      <c r="B456" s="29" t="s">
        <v>1450</v>
      </c>
      <c r="C456" s="29" t="s">
        <v>1755</v>
      </c>
      <c r="D456" s="29" t="s">
        <v>1755</v>
      </c>
      <c r="E456" s="29" t="s">
        <v>1756</v>
      </c>
      <c r="F456" s="29" t="s">
        <v>1450</v>
      </c>
      <c r="G456" s="29"/>
      <c r="H456" s="29"/>
      <c r="I456" s="29"/>
      <c r="J456" s="29">
        <v>10283</v>
      </c>
      <c r="K456" s="29" t="s">
        <v>1757</v>
      </c>
      <c r="L456" s="15">
        <f>SUM(B456:J457)</f>
        <v>66152</v>
      </c>
      <c r="M456" s="43"/>
      <c r="N456" s="43"/>
    </row>
    <row r="457" spans="1:14">
      <c r="A457" s="53"/>
      <c r="B457" s="29">
        <v>16078</v>
      </c>
      <c r="C457" s="29">
        <v>33328</v>
      </c>
      <c r="D457" s="29">
        <v>3681</v>
      </c>
      <c r="E457" s="29">
        <v>1515</v>
      </c>
      <c r="F457" s="29">
        <v>1267</v>
      </c>
      <c r="G457" s="29"/>
      <c r="H457" s="29"/>
      <c r="I457" s="29"/>
      <c r="J457" s="29"/>
      <c r="K457" s="29"/>
      <c r="L457" s="15"/>
      <c r="M457" s="43"/>
      <c r="N457" s="43"/>
    </row>
    <row r="458" spans="1:14">
      <c r="A458" s="53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15"/>
      <c r="M458" s="43"/>
      <c r="N458" s="43"/>
    </row>
    <row r="459" spans="1:14" ht="17.25">
      <c r="A459" s="53" t="s">
        <v>1795</v>
      </c>
      <c r="B459" s="29" t="s">
        <v>1450</v>
      </c>
      <c r="C459" s="29" t="s">
        <v>1579</v>
      </c>
      <c r="D459" s="29" t="s">
        <v>1579</v>
      </c>
      <c r="E459" s="29" t="s">
        <v>1579</v>
      </c>
      <c r="F459" s="29" t="s">
        <v>1450</v>
      </c>
      <c r="G459" s="29"/>
      <c r="H459" s="29"/>
      <c r="I459" s="29"/>
      <c r="J459" s="29">
        <v>42</v>
      </c>
      <c r="K459" s="29" t="s">
        <v>1580</v>
      </c>
      <c r="L459" s="15">
        <f>SUM(B459:J460)</f>
        <v>8607</v>
      </c>
      <c r="M459" s="43"/>
      <c r="N459" s="43"/>
    </row>
    <row r="460" spans="1:14">
      <c r="A460" s="53"/>
      <c r="B460" s="29">
        <v>2360</v>
      </c>
      <c r="C460" s="29">
        <v>4895</v>
      </c>
      <c r="D460" s="29">
        <v>680</v>
      </c>
      <c r="E460" s="29">
        <v>340</v>
      </c>
      <c r="F460" s="29">
        <v>290</v>
      </c>
      <c r="G460" s="29"/>
      <c r="H460" s="29"/>
      <c r="I460" s="29"/>
      <c r="J460" s="29"/>
      <c r="K460" s="29"/>
      <c r="L460" s="15"/>
      <c r="M460" s="43"/>
      <c r="N460" s="43"/>
    </row>
    <row r="461" spans="1:14">
      <c r="A461" s="43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43"/>
      <c r="N461" s="43"/>
    </row>
    <row r="462" spans="1:14">
      <c r="A462" s="43" t="s">
        <v>115</v>
      </c>
      <c r="B462" s="15" t="s">
        <v>1758</v>
      </c>
      <c r="C462" s="15" t="s">
        <v>1759</v>
      </c>
      <c r="D462" s="15" t="s">
        <v>1758</v>
      </c>
      <c r="E462" s="15" t="s">
        <v>1758</v>
      </c>
      <c r="F462" s="15" t="s">
        <v>1758</v>
      </c>
      <c r="G462" s="15"/>
      <c r="H462" s="15"/>
      <c r="I462" s="15"/>
      <c r="J462" s="15">
        <v>9954</v>
      </c>
      <c r="K462" s="15" t="s">
        <v>1760</v>
      </c>
      <c r="L462" s="15">
        <f>SUM(B462:J463)</f>
        <v>65018</v>
      </c>
      <c r="M462" s="43"/>
      <c r="N462" s="43"/>
    </row>
    <row r="463" spans="1:14">
      <c r="A463" s="43"/>
      <c r="B463" s="15">
        <v>31285</v>
      </c>
      <c r="C463" s="15">
        <v>18029</v>
      </c>
      <c r="D463" s="15">
        <v>1635</v>
      </c>
      <c r="E463" s="15">
        <v>2182</v>
      </c>
      <c r="F463" s="15">
        <v>1933</v>
      </c>
      <c r="G463" s="15"/>
      <c r="H463" s="15"/>
      <c r="I463" s="15"/>
      <c r="J463" s="15"/>
      <c r="K463" s="15"/>
      <c r="L463" s="15"/>
      <c r="M463" s="43"/>
      <c r="N463" s="43"/>
    </row>
    <row r="464" spans="1:14">
      <c r="A464" s="43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43"/>
      <c r="N464" s="43"/>
    </row>
    <row r="465" spans="1:14">
      <c r="A465" s="53" t="s">
        <v>123</v>
      </c>
      <c r="B465" s="29" t="s">
        <v>1253</v>
      </c>
      <c r="C465" s="29" t="s">
        <v>1761</v>
      </c>
      <c r="D465" s="29" t="s">
        <v>1761</v>
      </c>
      <c r="E465" s="29" t="s">
        <v>1253</v>
      </c>
      <c r="F465" s="29" t="s">
        <v>1253</v>
      </c>
      <c r="G465" s="29"/>
      <c r="H465" s="29"/>
      <c r="I465" s="29"/>
      <c r="J465" s="29">
        <v>7304</v>
      </c>
      <c r="K465" s="29" t="s">
        <v>1257</v>
      </c>
      <c r="L465" s="15">
        <f>SUM(B465:J466)</f>
        <v>51930</v>
      </c>
      <c r="M465" s="43"/>
      <c r="N465" s="43"/>
    </row>
    <row r="466" spans="1:14">
      <c r="A466" s="53"/>
      <c r="B466" s="29">
        <v>28357</v>
      </c>
      <c r="C466" s="29">
        <v>10797</v>
      </c>
      <c r="D466" s="29">
        <v>1425</v>
      </c>
      <c r="E466" s="29">
        <v>1981</v>
      </c>
      <c r="F466" s="29">
        <v>2066</v>
      </c>
      <c r="G466" s="29"/>
      <c r="H466" s="29"/>
      <c r="I466" s="29"/>
      <c r="J466" s="29"/>
      <c r="K466" s="29"/>
      <c r="L466" s="15"/>
      <c r="M466" s="43"/>
      <c r="N466" s="43"/>
    </row>
    <row r="467" spans="1:14">
      <c r="A467" s="43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43"/>
      <c r="N467" s="43"/>
    </row>
    <row r="468" spans="1:14">
      <c r="A468" s="43" t="s">
        <v>129</v>
      </c>
      <c r="B468" s="15" t="s">
        <v>1258</v>
      </c>
      <c r="C468" s="15" t="s">
        <v>1762</v>
      </c>
      <c r="D468" s="15" t="s">
        <v>1258</v>
      </c>
      <c r="E468" s="15" t="s">
        <v>1258</v>
      </c>
      <c r="F468" s="15" t="s">
        <v>1258</v>
      </c>
      <c r="G468" s="15"/>
      <c r="H468" s="15"/>
      <c r="I468" s="15" t="s">
        <v>1763</v>
      </c>
      <c r="J468" s="15">
        <v>12581</v>
      </c>
      <c r="K468" s="15" t="s">
        <v>1424</v>
      </c>
      <c r="L468" s="15">
        <f>SUM(B468:J469)</f>
        <v>65130</v>
      </c>
      <c r="M468" s="43"/>
      <c r="N468" s="43"/>
    </row>
    <row r="469" spans="1:14">
      <c r="A469" s="43"/>
      <c r="B469" s="15">
        <v>31935</v>
      </c>
      <c r="C469" s="15">
        <v>14022</v>
      </c>
      <c r="D469" s="15">
        <v>2108</v>
      </c>
      <c r="E469" s="15">
        <v>2102</v>
      </c>
      <c r="F469" s="15">
        <v>1708</v>
      </c>
      <c r="G469" s="15"/>
      <c r="H469" s="15"/>
      <c r="I469" s="15">
        <v>674</v>
      </c>
      <c r="J469" s="15"/>
      <c r="K469" s="15"/>
      <c r="L469" s="15"/>
      <c r="M469" s="43"/>
      <c r="N469" s="43"/>
    </row>
    <row r="470" spans="1:14">
      <c r="A470" s="43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43"/>
      <c r="N470" s="43"/>
    </row>
    <row r="471" spans="1:14">
      <c r="A471" s="53" t="s">
        <v>135</v>
      </c>
      <c r="B471" s="29" t="s">
        <v>1764</v>
      </c>
      <c r="C471" s="29" t="s">
        <v>1426</v>
      </c>
      <c r="D471" s="29" t="s">
        <v>1765</v>
      </c>
      <c r="E471" s="29" t="s">
        <v>1765</v>
      </c>
      <c r="F471" s="29" t="s">
        <v>1764</v>
      </c>
      <c r="G471" s="29"/>
      <c r="H471" s="29"/>
      <c r="I471" s="29" t="s">
        <v>1766</v>
      </c>
      <c r="J471" s="29">
        <v>4449</v>
      </c>
      <c r="K471" s="29" t="s">
        <v>1427</v>
      </c>
      <c r="L471" s="15">
        <f>SUM(B471:J472)</f>
        <v>64473</v>
      </c>
      <c r="M471" s="43"/>
      <c r="N471" s="43"/>
    </row>
    <row r="472" spans="1:14">
      <c r="A472" s="53"/>
      <c r="B472" s="29">
        <v>19934</v>
      </c>
      <c r="C472" s="29">
        <v>30156</v>
      </c>
      <c r="D472" s="29">
        <v>1907</v>
      </c>
      <c r="E472" s="29">
        <v>4921</v>
      </c>
      <c r="F472" s="29">
        <v>1667</v>
      </c>
      <c r="G472" s="29"/>
      <c r="H472" s="29"/>
      <c r="I472" s="29">
        <v>1439</v>
      </c>
      <c r="J472" s="29"/>
      <c r="K472" s="29"/>
      <c r="L472" s="15"/>
      <c r="M472" s="43"/>
      <c r="N472" s="43"/>
    </row>
    <row r="473" spans="1:14">
      <c r="A473" s="43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43"/>
      <c r="N473" s="43"/>
    </row>
    <row r="474" spans="1:14">
      <c r="A474" s="43" t="s">
        <v>143</v>
      </c>
      <c r="B474" s="15"/>
      <c r="C474" s="15" t="s">
        <v>1265</v>
      </c>
      <c r="D474" s="15" t="s">
        <v>1265</v>
      </c>
      <c r="E474" s="15"/>
      <c r="F474" s="15"/>
      <c r="G474" s="15"/>
      <c r="H474" s="15"/>
      <c r="I474" s="15"/>
      <c r="J474" s="15">
        <v>20148</v>
      </c>
      <c r="K474" s="15" t="s">
        <v>1266</v>
      </c>
      <c r="L474" s="15">
        <f>SUM(B474:J475)</f>
        <v>53934</v>
      </c>
      <c r="M474" s="43"/>
      <c r="N474" s="43"/>
    </row>
    <row r="475" spans="1:14">
      <c r="A475" s="43"/>
      <c r="B475" s="15"/>
      <c r="C475" s="15">
        <v>30467</v>
      </c>
      <c r="D475" s="15">
        <v>3319</v>
      </c>
      <c r="E475" s="15"/>
      <c r="F475" s="15"/>
      <c r="G475" s="15"/>
      <c r="H475" s="15"/>
      <c r="I475" s="15"/>
      <c r="J475" s="15"/>
      <c r="K475" s="15"/>
      <c r="L475" s="15"/>
      <c r="M475" s="43"/>
      <c r="N475" s="43"/>
    </row>
    <row r="476" spans="1:14">
      <c r="A476" s="43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43"/>
      <c r="N476" s="43"/>
    </row>
    <row r="477" spans="1:14">
      <c r="A477" s="53" t="s">
        <v>149</v>
      </c>
      <c r="B477" s="29"/>
      <c r="C477" s="29" t="s">
        <v>545</v>
      </c>
      <c r="D477" s="29" t="s">
        <v>545</v>
      </c>
      <c r="E477" s="29" t="s">
        <v>545</v>
      </c>
      <c r="F477" s="29"/>
      <c r="G477" s="29"/>
      <c r="H477" s="29"/>
      <c r="I477" s="29"/>
      <c r="J477" s="29">
        <v>29264</v>
      </c>
      <c r="K477" s="29" t="s">
        <v>1268</v>
      </c>
      <c r="L477" s="15">
        <f>SUM(B477:J478)</f>
        <v>67055</v>
      </c>
      <c r="M477" s="43"/>
      <c r="N477" s="43"/>
    </row>
    <row r="478" spans="1:14">
      <c r="A478" s="53"/>
      <c r="B478" s="29"/>
      <c r="C478" s="29">
        <v>30668</v>
      </c>
      <c r="D478" s="29">
        <v>2438</v>
      </c>
      <c r="E478" s="29">
        <v>4685</v>
      </c>
      <c r="F478" s="29"/>
      <c r="G478" s="29"/>
      <c r="H478" s="29"/>
      <c r="I478" s="29"/>
      <c r="J478" s="29"/>
      <c r="K478" s="29"/>
      <c r="L478" s="15"/>
      <c r="M478" s="43"/>
      <c r="N478" s="43"/>
    </row>
    <row r="479" spans="1:14">
      <c r="A479" s="43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43"/>
      <c r="N479" s="43"/>
    </row>
    <row r="480" spans="1:14">
      <c r="A480" s="43" t="s">
        <v>155</v>
      </c>
      <c r="B480" s="15" t="s">
        <v>1767</v>
      </c>
      <c r="C480" s="15" t="s">
        <v>1314</v>
      </c>
      <c r="D480" s="15" t="s">
        <v>1314</v>
      </c>
      <c r="E480" s="15" t="s">
        <v>1314</v>
      </c>
      <c r="F480" s="15" t="s">
        <v>1767</v>
      </c>
      <c r="G480" s="15"/>
      <c r="H480" s="15"/>
      <c r="I480" s="15"/>
      <c r="J480" s="15">
        <v>5319</v>
      </c>
      <c r="K480" s="15" t="s">
        <v>1768</v>
      </c>
      <c r="L480" s="15">
        <f>SUM(B480:J481)</f>
        <v>52118</v>
      </c>
      <c r="M480" s="43"/>
      <c r="N480" s="43"/>
    </row>
    <row r="481" spans="1:14">
      <c r="A481" s="43"/>
      <c r="B481" s="15">
        <v>11115</v>
      </c>
      <c r="C481" s="15">
        <v>30698</v>
      </c>
      <c r="D481" s="15">
        <v>1923</v>
      </c>
      <c r="E481" s="15">
        <v>2392</v>
      </c>
      <c r="F481" s="15">
        <v>671</v>
      </c>
      <c r="G481" s="15"/>
      <c r="H481" s="15"/>
      <c r="I481" s="15"/>
      <c r="J481" s="15"/>
      <c r="K481" s="15"/>
      <c r="L481" s="15"/>
      <c r="M481" s="43"/>
      <c r="N481" s="43"/>
    </row>
    <row r="482" spans="1:14">
      <c r="A482" s="43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43"/>
      <c r="N482" s="43"/>
    </row>
    <row r="483" spans="1:14" ht="17.25">
      <c r="A483" s="43" t="s">
        <v>1796</v>
      </c>
      <c r="B483" s="15" t="s">
        <v>1769</v>
      </c>
      <c r="C483" s="15" t="s">
        <v>258</v>
      </c>
      <c r="D483" s="15" t="s">
        <v>258</v>
      </c>
      <c r="E483" s="15"/>
      <c r="F483" s="15"/>
      <c r="G483" s="15"/>
      <c r="H483" s="15"/>
      <c r="I483" s="15"/>
      <c r="J483" s="15">
        <v>42</v>
      </c>
      <c r="K483" s="15" t="s">
        <v>259</v>
      </c>
      <c r="L483" s="15">
        <f>SUM(B483:J484)</f>
        <v>9401</v>
      </c>
      <c r="M483" s="43"/>
      <c r="N483" s="43"/>
    </row>
    <row r="484" spans="1:14">
      <c r="A484" s="43"/>
      <c r="B484" s="15">
        <v>3722</v>
      </c>
      <c r="C484" s="15">
        <v>4907</v>
      </c>
      <c r="D484" s="15">
        <v>730</v>
      </c>
      <c r="E484" s="15"/>
      <c r="F484" s="15"/>
      <c r="G484" s="15"/>
      <c r="H484" s="15"/>
      <c r="I484" s="15"/>
      <c r="J484" s="15"/>
      <c r="K484" s="15"/>
      <c r="L484" s="15"/>
      <c r="M484" s="43"/>
      <c r="N484" s="43"/>
    </row>
    <row r="485" spans="1:14">
      <c r="A485" s="43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43"/>
      <c r="N485" s="43"/>
    </row>
    <row r="486" spans="1:14">
      <c r="A486" s="53" t="s">
        <v>162</v>
      </c>
      <c r="B486" s="29" t="s">
        <v>1430</v>
      </c>
      <c r="C486" s="29" t="s">
        <v>1064</v>
      </c>
      <c r="D486" s="29"/>
      <c r="E486" s="29" t="s">
        <v>1430</v>
      </c>
      <c r="F486" s="29"/>
      <c r="G486" s="29"/>
      <c r="H486" s="29"/>
      <c r="I486" s="29"/>
      <c r="J486" s="29">
        <v>6400</v>
      </c>
      <c r="K486" s="29" t="s">
        <v>1431</v>
      </c>
      <c r="L486" s="15">
        <f>SUM(B486:J487)</f>
        <v>54949</v>
      </c>
      <c r="M486" s="43"/>
      <c r="N486" s="43"/>
    </row>
    <row r="487" spans="1:14">
      <c r="A487" s="53"/>
      <c r="B487" s="29">
        <v>28627</v>
      </c>
      <c r="C487" s="29">
        <v>17052</v>
      </c>
      <c r="D487" s="29"/>
      <c r="E487" s="29">
        <v>2870</v>
      </c>
      <c r="F487" s="29"/>
      <c r="G487" s="29"/>
      <c r="H487" s="29"/>
      <c r="I487" s="29"/>
      <c r="J487" s="29"/>
      <c r="K487" s="29"/>
      <c r="L487" s="15"/>
      <c r="M487" s="43"/>
      <c r="N487" s="43"/>
    </row>
    <row r="488" spans="1:14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3"/>
      <c r="M488" s="43"/>
      <c r="N488" s="43"/>
    </row>
    <row r="489" spans="1:14">
      <c r="A489" s="45" t="s">
        <v>1586</v>
      </c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3"/>
      <c r="M489" s="43"/>
      <c r="N489" s="43"/>
    </row>
    <row r="490" spans="1:14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3"/>
      <c r="M490" s="43"/>
      <c r="N490" s="43"/>
    </row>
    <row r="491" spans="1:14">
      <c r="A491" s="45" t="s">
        <v>171</v>
      </c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</row>
    <row r="492" spans="1:14">
      <c r="A492" s="46" t="s">
        <v>1770</v>
      </c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</row>
    <row r="493" spans="1:14">
      <c r="A493" s="46" t="s">
        <v>1771</v>
      </c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</row>
    <row r="494" spans="1:14">
      <c r="A494" s="46" t="s">
        <v>1772</v>
      </c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</row>
    <row r="495" spans="1:14">
      <c r="A495" s="46" t="s">
        <v>1773</v>
      </c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</row>
    <row r="496" spans="1:14">
      <c r="A496" s="46" t="s">
        <v>1774</v>
      </c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</row>
    <row r="497" spans="1:14">
      <c r="A497" s="46" t="s">
        <v>1775</v>
      </c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</row>
    <row r="498" spans="1:14">
      <c r="A498" s="46" t="s">
        <v>1590</v>
      </c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</row>
    <row r="499" spans="1:14">
      <c r="A499" s="46" t="s">
        <v>1776</v>
      </c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</row>
    <row r="500" spans="1:14">
      <c r="A500" s="46" t="s">
        <v>1777</v>
      </c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</row>
    <row r="501" spans="1:14">
      <c r="A501" s="43" t="s">
        <v>1778</v>
      </c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</row>
    <row r="502" spans="1:14">
      <c r="A502" s="43" t="s">
        <v>1779</v>
      </c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</row>
    <row r="503" spans="1:14">
      <c r="A503" s="43" t="s">
        <v>1780</v>
      </c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</row>
    <row r="504" spans="1:14">
      <c r="A504" s="43" t="s">
        <v>1781</v>
      </c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</row>
    <row r="505" spans="1:14">
      <c r="A505" s="43" t="s">
        <v>1782</v>
      </c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</row>
    <row r="506" spans="1:14">
      <c r="A506" s="43" t="s">
        <v>1783</v>
      </c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</row>
    <row r="507" spans="1:14">
      <c r="A507" s="43" t="s">
        <v>1784</v>
      </c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</row>
    <row r="508" spans="1:14">
      <c r="A508" s="43" t="s">
        <v>1785</v>
      </c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</row>
    <row r="509" spans="1:14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</row>
    <row r="510" spans="1:14">
      <c r="A510" s="57" t="s">
        <v>1597</v>
      </c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</row>
    <row r="511" spans="1:14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</row>
    <row r="512" spans="1:14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</row>
    <row r="513" spans="1:14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</row>
    <row r="514" spans="1: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</sheetData>
  <hyperlinks>
    <hyperlink ref="A510" r:id="rId1"/>
  </hyperlinks>
  <pageMargins left="0.7" right="0.7" top="0.75" bottom="0.75" header="0.3" footer="0.3"/>
  <pageSetup scale="54" fitToHeight="18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2"/>
  <sheetViews>
    <sheetView workbookViewId="0"/>
  </sheetViews>
  <sheetFormatPr defaultColWidth="15.77734375" defaultRowHeight="15.75"/>
  <cols>
    <col min="1" max="1" width="25.77734375" customWidth="1"/>
    <col min="13" max="13" width="26.77734375" customWidth="1"/>
  </cols>
  <sheetData>
    <row r="1" spans="1:15" ht="20.25">
      <c r="A1" s="22" t="s">
        <v>0</v>
      </c>
      <c r="B1" s="8"/>
      <c r="C1" s="8"/>
      <c r="D1" s="8"/>
      <c r="E1" s="8"/>
      <c r="F1" s="8"/>
      <c r="G1" s="8"/>
      <c r="H1" s="5"/>
      <c r="I1" s="5"/>
      <c r="J1" s="5"/>
      <c r="K1" s="5"/>
      <c r="L1" s="5"/>
      <c r="M1" s="5"/>
      <c r="N1" s="5"/>
      <c r="O1" s="5"/>
    </row>
    <row r="2" spans="1:15" ht="20.25">
      <c r="A2" s="22" t="s">
        <v>1843</v>
      </c>
      <c r="B2" s="8"/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9.25">
      <c r="A4" s="24" t="s">
        <v>1</v>
      </c>
      <c r="B4" s="25" t="s">
        <v>197</v>
      </c>
      <c r="C4" s="25" t="s">
        <v>186</v>
      </c>
      <c r="D4" s="25" t="s">
        <v>1609</v>
      </c>
      <c r="E4" s="25" t="s">
        <v>215</v>
      </c>
      <c r="F4" s="26" t="s">
        <v>581</v>
      </c>
      <c r="G4" s="25" t="s">
        <v>1804</v>
      </c>
      <c r="H4" s="25" t="s">
        <v>1982</v>
      </c>
      <c r="I4" s="25" t="s">
        <v>585</v>
      </c>
      <c r="J4" s="25" t="s">
        <v>586</v>
      </c>
      <c r="K4" s="25" t="s">
        <v>580</v>
      </c>
      <c r="L4" s="27" t="s">
        <v>582</v>
      </c>
      <c r="M4" s="25" t="s">
        <v>2</v>
      </c>
      <c r="N4" s="5"/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>
      <c r="A6" s="11" t="s">
        <v>3</v>
      </c>
      <c r="B6" s="12" t="s">
        <v>419</v>
      </c>
      <c r="C6" s="12" t="s">
        <v>1610</v>
      </c>
      <c r="D6" s="12" t="s">
        <v>1610</v>
      </c>
      <c r="E6" s="12" t="s">
        <v>1610</v>
      </c>
      <c r="F6" s="12" t="s">
        <v>1610</v>
      </c>
      <c r="G6" s="12" t="s">
        <v>419</v>
      </c>
      <c r="H6" s="12" t="s">
        <v>1805</v>
      </c>
      <c r="I6" s="12" t="s">
        <v>419</v>
      </c>
      <c r="J6" s="12"/>
      <c r="K6" s="12"/>
      <c r="L6" s="13">
        <v>2995</v>
      </c>
      <c r="M6" s="12" t="s">
        <v>1611</v>
      </c>
      <c r="N6" s="5">
        <f>SUM(B6:L7)</f>
        <v>42334</v>
      </c>
      <c r="O6" s="5"/>
    </row>
    <row r="7" spans="1:15">
      <c r="A7" s="5"/>
      <c r="B7" s="13">
        <v>8855</v>
      </c>
      <c r="C7" s="13">
        <v>24083</v>
      </c>
      <c r="D7" s="13">
        <v>2024</v>
      </c>
      <c r="E7" s="13">
        <v>2313</v>
      </c>
      <c r="F7" s="13">
        <v>475</v>
      </c>
      <c r="G7" s="13">
        <v>181</v>
      </c>
      <c r="H7" s="13">
        <v>991</v>
      </c>
      <c r="I7" s="13">
        <v>417</v>
      </c>
      <c r="J7" s="13"/>
      <c r="K7" s="13"/>
      <c r="L7" s="13"/>
      <c r="M7" s="14"/>
      <c r="N7" s="5"/>
      <c r="O7" s="5"/>
    </row>
    <row r="8" spans="1:15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5"/>
      <c r="O8" s="5"/>
    </row>
    <row r="9" spans="1:15">
      <c r="A9" s="28" t="s">
        <v>10</v>
      </c>
      <c r="B9" s="29" t="s">
        <v>1806</v>
      </c>
      <c r="C9" s="29" t="s">
        <v>1085</v>
      </c>
      <c r="D9" s="29" t="s">
        <v>1614</v>
      </c>
      <c r="E9" s="29" t="s">
        <v>216</v>
      </c>
      <c r="F9" s="29" t="s">
        <v>216</v>
      </c>
      <c r="G9" s="29"/>
      <c r="H9" s="29" t="s">
        <v>1807</v>
      </c>
      <c r="I9" s="29"/>
      <c r="J9" s="29"/>
      <c r="K9" s="29"/>
      <c r="L9" s="30">
        <v>3060</v>
      </c>
      <c r="M9" s="29" t="s">
        <v>11</v>
      </c>
      <c r="N9" s="5">
        <f>SUM(B9:L10)</f>
        <v>36904</v>
      </c>
      <c r="O9" s="5"/>
    </row>
    <row r="10" spans="1:15">
      <c r="A10" s="31"/>
      <c r="B10" s="30">
        <v>8625</v>
      </c>
      <c r="C10" s="30">
        <v>20066</v>
      </c>
      <c r="D10" s="30">
        <v>1142</v>
      </c>
      <c r="E10" s="30">
        <v>2681</v>
      </c>
      <c r="F10" s="30">
        <v>567</v>
      </c>
      <c r="G10" s="30"/>
      <c r="H10" s="30">
        <v>763</v>
      </c>
      <c r="I10" s="30"/>
      <c r="J10" s="30"/>
      <c r="K10" s="30"/>
      <c r="L10" s="30"/>
      <c r="M10" s="30"/>
      <c r="N10" s="5"/>
      <c r="O10" s="5"/>
    </row>
    <row r="11" spans="1:15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5"/>
      <c r="O11" s="5"/>
    </row>
    <row r="12" spans="1:15">
      <c r="A12" s="11" t="s">
        <v>16</v>
      </c>
      <c r="B12" s="12" t="s">
        <v>1287</v>
      </c>
      <c r="C12" s="12" t="s">
        <v>1808</v>
      </c>
      <c r="D12" s="12" t="s">
        <v>1808</v>
      </c>
      <c r="E12" s="12" t="s">
        <v>1287</v>
      </c>
      <c r="F12" s="12" t="s">
        <v>1287</v>
      </c>
      <c r="G12" s="12"/>
      <c r="H12" s="12" t="s">
        <v>1808</v>
      </c>
      <c r="I12" s="12"/>
      <c r="J12" s="12"/>
      <c r="K12" s="12"/>
      <c r="L12" s="13">
        <v>2375</v>
      </c>
      <c r="M12" s="12" t="s">
        <v>1289</v>
      </c>
      <c r="N12" s="5">
        <f>SUM(B12:L13)</f>
        <v>29738</v>
      </c>
      <c r="O12" s="5"/>
    </row>
    <row r="13" spans="1:15">
      <c r="A13" s="5"/>
      <c r="B13" s="13">
        <v>12392</v>
      </c>
      <c r="C13" s="13">
        <v>10977</v>
      </c>
      <c r="D13" s="13">
        <v>1179</v>
      </c>
      <c r="E13" s="13">
        <v>1273</v>
      </c>
      <c r="F13" s="13">
        <v>557</v>
      </c>
      <c r="G13" s="13"/>
      <c r="H13" s="13">
        <v>985</v>
      </c>
      <c r="I13" s="13"/>
      <c r="J13" s="13"/>
      <c r="K13" s="13"/>
      <c r="L13" s="13"/>
      <c r="M13" s="14"/>
      <c r="N13" s="5"/>
      <c r="O13" s="5"/>
    </row>
    <row r="14" spans="1:15">
      <c r="A14" s="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5"/>
      <c r="O14" s="5"/>
    </row>
    <row r="15" spans="1:15">
      <c r="A15" s="28" t="s">
        <v>26</v>
      </c>
      <c r="B15" s="32" t="s">
        <v>187</v>
      </c>
      <c r="C15" s="32" t="s">
        <v>1809</v>
      </c>
      <c r="D15" s="32" t="s">
        <v>1809</v>
      </c>
      <c r="E15" s="32" t="s">
        <v>198</v>
      </c>
      <c r="F15" s="32" t="s">
        <v>198</v>
      </c>
      <c r="G15" s="32"/>
      <c r="H15" s="32" t="s">
        <v>1809</v>
      </c>
      <c r="I15" s="32" t="s">
        <v>198</v>
      </c>
      <c r="J15" s="32"/>
      <c r="K15" s="32"/>
      <c r="L15" s="30">
        <v>1997</v>
      </c>
      <c r="M15" s="32" t="s">
        <v>27</v>
      </c>
      <c r="N15" s="5">
        <f>SUM(B15:L16)</f>
        <v>33982</v>
      </c>
      <c r="O15" s="5"/>
    </row>
    <row r="16" spans="1:15">
      <c r="A16" s="31"/>
      <c r="B16" s="30">
        <v>16427</v>
      </c>
      <c r="C16" s="30">
        <v>11042</v>
      </c>
      <c r="D16" s="30">
        <v>1222</v>
      </c>
      <c r="E16" s="32">
        <v>1401</v>
      </c>
      <c r="F16" s="32">
        <v>383</v>
      </c>
      <c r="G16" s="32"/>
      <c r="H16" s="30">
        <v>1045</v>
      </c>
      <c r="I16" s="30">
        <v>465</v>
      </c>
      <c r="J16" s="30"/>
      <c r="K16" s="30"/>
      <c r="L16" s="30"/>
      <c r="M16" s="33"/>
      <c r="N16" s="5"/>
      <c r="O16" s="5"/>
    </row>
    <row r="17" spans="1:15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5"/>
      <c r="O17" s="5"/>
    </row>
    <row r="18" spans="1:15">
      <c r="A18" s="11" t="s">
        <v>40</v>
      </c>
      <c r="B18" s="12" t="s">
        <v>1810</v>
      </c>
      <c r="C18" s="12" t="s">
        <v>1811</v>
      </c>
      <c r="D18" s="12" t="s">
        <v>1811</v>
      </c>
      <c r="E18" s="12" t="s">
        <v>1810</v>
      </c>
      <c r="F18" s="12" t="s">
        <v>1810</v>
      </c>
      <c r="G18" s="12"/>
      <c r="H18" s="12" t="s">
        <v>1811</v>
      </c>
      <c r="I18" s="12" t="s">
        <v>1810</v>
      </c>
      <c r="J18" s="12"/>
      <c r="K18" s="12"/>
      <c r="L18" s="13">
        <v>1967</v>
      </c>
      <c r="M18" s="12" t="s">
        <v>1812</v>
      </c>
      <c r="N18" s="5">
        <f>SUM(B18:L19)</f>
        <v>33797</v>
      </c>
      <c r="O18" s="5"/>
    </row>
    <row r="19" spans="1:15">
      <c r="A19" s="5"/>
      <c r="B19" s="13">
        <v>18074</v>
      </c>
      <c r="C19" s="13">
        <v>7973</v>
      </c>
      <c r="D19" s="13">
        <v>946</v>
      </c>
      <c r="E19" s="13">
        <v>2829</v>
      </c>
      <c r="F19" s="13">
        <v>565</v>
      </c>
      <c r="G19" s="13"/>
      <c r="H19" s="13">
        <v>961</v>
      </c>
      <c r="I19" s="13">
        <v>482</v>
      </c>
      <c r="J19" s="13"/>
      <c r="K19" s="13"/>
      <c r="L19" s="13"/>
      <c r="M19" s="14"/>
      <c r="N19" s="5"/>
      <c r="O19" s="5"/>
    </row>
    <row r="20" spans="1:15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"/>
      <c r="O20" s="5"/>
    </row>
    <row r="21" spans="1:15">
      <c r="A21" s="28" t="s">
        <v>52</v>
      </c>
      <c r="B21" s="32" t="s">
        <v>217</v>
      </c>
      <c r="C21" s="32" t="s">
        <v>1813</v>
      </c>
      <c r="D21" s="32" t="s">
        <v>1813</v>
      </c>
      <c r="E21" s="32" t="s">
        <v>1813</v>
      </c>
      <c r="F21" s="32" t="s">
        <v>217</v>
      </c>
      <c r="G21" s="32"/>
      <c r="H21" s="32" t="s">
        <v>1813</v>
      </c>
      <c r="I21" s="32" t="s">
        <v>1983</v>
      </c>
      <c r="J21" s="32"/>
      <c r="K21" s="29"/>
      <c r="L21" s="30">
        <v>1879</v>
      </c>
      <c r="M21" s="32" t="s">
        <v>218</v>
      </c>
      <c r="N21" s="5">
        <f>SUM(B21:L22)</f>
        <v>19535</v>
      </c>
      <c r="O21" s="5"/>
    </row>
    <row r="22" spans="1:15">
      <c r="A22" s="31"/>
      <c r="B22" s="30">
        <v>9070</v>
      </c>
      <c r="C22" s="30">
        <v>5738</v>
      </c>
      <c r="D22" s="30">
        <v>552</v>
      </c>
      <c r="E22" s="30">
        <v>801</v>
      </c>
      <c r="F22" s="30">
        <v>412</v>
      </c>
      <c r="G22" s="30"/>
      <c r="H22" s="30">
        <v>568</v>
      </c>
      <c r="I22" s="30">
        <v>515</v>
      </c>
      <c r="J22" s="30"/>
      <c r="K22" s="30"/>
      <c r="L22" s="30"/>
      <c r="M22" s="33"/>
      <c r="N22" s="5"/>
      <c r="O22" s="5"/>
    </row>
    <row r="23" spans="1:15">
      <c r="A23" s="5"/>
      <c r="B23" s="37"/>
      <c r="C23" s="37"/>
      <c r="D23" s="37"/>
      <c r="E23" s="37"/>
      <c r="F23" s="37"/>
      <c r="G23" s="37"/>
      <c r="H23" s="37"/>
      <c r="I23" s="37"/>
      <c r="J23" s="37"/>
      <c r="K23" s="13"/>
      <c r="L23" s="13"/>
      <c r="M23" s="13"/>
      <c r="N23" s="5"/>
      <c r="O23" s="5"/>
    </row>
    <row r="24" spans="1:15">
      <c r="A24" s="11" t="s">
        <v>59</v>
      </c>
      <c r="B24" s="12" t="s">
        <v>534</v>
      </c>
      <c r="C24" s="12" t="s">
        <v>219</v>
      </c>
      <c r="D24" s="12" t="s">
        <v>219</v>
      </c>
      <c r="E24" s="12" t="s">
        <v>534</v>
      </c>
      <c r="F24" s="12" t="s">
        <v>534</v>
      </c>
      <c r="G24" s="12"/>
      <c r="H24" s="12" t="s">
        <v>219</v>
      </c>
      <c r="I24" s="12"/>
      <c r="J24" s="12"/>
      <c r="K24" s="12"/>
      <c r="L24" s="13">
        <v>3833</v>
      </c>
      <c r="M24" s="12" t="s">
        <v>220</v>
      </c>
      <c r="N24" s="5">
        <f>SUM(B24:L25)</f>
        <v>38733</v>
      </c>
      <c r="O24" s="5"/>
    </row>
    <row r="25" spans="1:15">
      <c r="A25" s="5"/>
      <c r="B25" s="13">
        <v>10662</v>
      </c>
      <c r="C25" s="13">
        <v>18817</v>
      </c>
      <c r="D25" s="13">
        <v>1998</v>
      </c>
      <c r="E25" s="13">
        <v>1078</v>
      </c>
      <c r="F25" s="13">
        <v>289</v>
      </c>
      <c r="G25" s="13"/>
      <c r="H25" s="13">
        <v>2056</v>
      </c>
      <c r="I25" s="13"/>
      <c r="J25" s="13"/>
      <c r="K25" s="13"/>
      <c r="L25" s="13"/>
      <c r="M25" s="14"/>
      <c r="N25" s="5"/>
      <c r="O25" s="5"/>
    </row>
    <row r="26" spans="1:15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5"/>
      <c r="O26" s="5"/>
    </row>
    <row r="27" spans="1:15">
      <c r="A27" s="28" t="s">
        <v>64</v>
      </c>
      <c r="B27" s="32" t="s">
        <v>1814</v>
      </c>
      <c r="C27" s="32" t="s">
        <v>1617</v>
      </c>
      <c r="D27" s="32" t="s">
        <v>1617</v>
      </c>
      <c r="E27" s="32" t="s">
        <v>1617</v>
      </c>
      <c r="F27" s="32" t="s">
        <v>1617</v>
      </c>
      <c r="G27" s="32"/>
      <c r="H27" s="32" t="s">
        <v>1617</v>
      </c>
      <c r="I27" s="32"/>
      <c r="J27" s="32"/>
      <c r="K27" s="32"/>
      <c r="L27" s="30">
        <v>3759</v>
      </c>
      <c r="M27" s="32" t="s">
        <v>1618</v>
      </c>
      <c r="N27" s="5">
        <f>SUM(B27:L28)</f>
        <v>33341</v>
      </c>
      <c r="O27" s="5"/>
    </row>
    <row r="28" spans="1:15">
      <c r="A28" s="31"/>
      <c r="B28" s="30">
        <v>7889</v>
      </c>
      <c r="C28" s="30">
        <v>16843</v>
      </c>
      <c r="D28" s="30">
        <v>1571</v>
      </c>
      <c r="E28" s="30">
        <v>1766</v>
      </c>
      <c r="F28" s="30">
        <v>252</v>
      </c>
      <c r="G28" s="30"/>
      <c r="H28" s="30">
        <v>1261</v>
      </c>
      <c r="I28" s="30"/>
      <c r="J28" s="30"/>
      <c r="K28" s="30"/>
      <c r="L28" s="30"/>
      <c r="M28" s="33"/>
      <c r="N28" s="5"/>
      <c r="O28" s="5"/>
    </row>
    <row r="29" spans="1:1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5"/>
      <c r="O29" s="5"/>
    </row>
    <row r="30" spans="1:15">
      <c r="A30" s="11" t="s">
        <v>73</v>
      </c>
      <c r="B30" s="12" t="s">
        <v>1815</v>
      </c>
      <c r="C30" s="12" t="s">
        <v>238</v>
      </c>
      <c r="D30" s="12" t="s">
        <v>238</v>
      </c>
      <c r="E30" s="12" t="s">
        <v>1815</v>
      </c>
      <c r="F30" s="12" t="s">
        <v>1815</v>
      </c>
      <c r="G30" s="12"/>
      <c r="H30" s="12" t="s">
        <v>1816</v>
      </c>
      <c r="I30" s="12"/>
      <c r="J30" s="12"/>
      <c r="K30" s="15" t="s">
        <v>1817</v>
      </c>
      <c r="L30" s="13">
        <v>2466</v>
      </c>
      <c r="M30" s="12" t="s">
        <v>239</v>
      </c>
      <c r="N30" s="5">
        <f>SUM(B30:L31)</f>
        <v>39546</v>
      </c>
      <c r="O30" s="5"/>
    </row>
    <row r="31" spans="1:15">
      <c r="A31" s="5"/>
      <c r="B31" s="13">
        <v>15118</v>
      </c>
      <c r="C31" s="13">
        <v>16359</v>
      </c>
      <c r="D31" s="13">
        <v>2233</v>
      </c>
      <c r="E31" s="13">
        <v>1691</v>
      </c>
      <c r="F31" s="13">
        <v>426</v>
      </c>
      <c r="G31" s="13"/>
      <c r="H31" s="13">
        <v>996</v>
      </c>
      <c r="I31" s="13"/>
      <c r="J31" s="13"/>
      <c r="K31" s="13">
        <v>257</v>
      </c>
      <c r="L31" s="13"/>
      <c r="M31" s="14"/>
      <c r="N31" s="5"/>
      <c r="O31" s="5"/>
    </row>
    <row r="32" spans="1:15">
      <c r="A32" s="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"/>
      <c r="O32" s="5"/>
    </row>
    <row r="33" spans="1:15">
      <c r="A33" s="28" t="s">
        <v>80</v>
      </c>
      <c r="B33" s="32" t="s">
        <v>1818</v>
      </c>
      <c r="C33" s="32" t="s">
        <v>1096</v>
      </c>
      <c r="D33" s="32" t="s">
        <v>1096</v>
      </c>
      <c r="E33" s="32" t="s">
        <v>1097</v>
      </c>
      <c r="F33" s="32"/>
      <c r="G33" s="32"/>
      <c r="H33" s="32" t="s">
        <v>1816</v>
      </c>
      <c r="I33" s="32"/>
      <c r="J33" s="32"/>
      <c r="K33" s="32"/>
      <c r="L33" s="30">
        <v>3480</v>
      </c>
      <c r="M33" s="32" t="s">
        <v>1098</v>
      </c>
      <c r="N33" s="5">
        <f>SUM(B33:L34)</f>
        <v>35291</v>
      </c>
      <c r="O33" s="5"/>
    </row>
    <row r="34" spans="1:15">
      <c r="A34" s="31"/>
      <c r="B34" s="30">
        <v>10483</v>
      </c>
      <c r="C34" s="30">
        <v>16869</v>
      </c>
      <c r="D34" s="30">
        <v>1630</v>
      </c>
      <c r="E34" s="30">
        <v>1813</v>
      </c>
      <c r="F34" s="30"/>
      <c r="G34" s="30"/>
      <c r="H34" s="30">
        <v>1016</v>
      </c>
      <c r="I34" s="30"/>
      <c r="J34" s="30"/>
      <c r="K34" s="30"/>
      <c r="L34" s="30"/>
      <c r="M34" s="33"/>
      <c r="N34" s="5"/>
      <c r="O34" s="5"/>
    </row>
    <row r="35" spans="1:15">
      <c r="A35" s="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5"/>
      <c r="O35" s="5"/>
    </row>
    <row r="36" spans="1:15">
      <c r="A36" s="11" t="s">
        <v>83</v>
      </c>
      <c r="B36" s="12" t="s">
        <v>939</v>
      </c>
      <c r="C36" s="12"/>
      <c r="D36" s="12" t="s">
        <v>1201</v>
      </c>
      <c r="E36" s="12" t="s">
        <v>941</v>
      </c>
      <c r="F36" s="12" t="s">
        <v>941</v>
      </c>
      <c r="G36" s="12"/>
      <c r="H36" s="12"/>
      <c r="I36" s="12"/>
      <c r="J36" s="12"/>
      <c r="K36" s="12"/>
      <c r="L36" s="13">
        <v>9317</v>
      </c>
      <c r="M36" s="12" t="s">
        <v>942</v>
      </c>
      <c r="N36" s="5">
        <f>SUM(B36:L37)</f>
        <v>25349</v>
      </c>
      <c r="O36" s="5"/>
    </row>
    <row r="37" spans="1:15">
      <c r="A37" s="5"/>
      <c r="B37" s="13">
        <v>12237</v>
      </c>
      <c r="C37" s="13"/>
      <c r="D37" s="13">
        <v>1489</v>
      </c>
      <c r="E37" s="13">
        <v>1726</v>
      </c>
      <c r="F37" s="13">
        <v>580</v>
      </c>
      <c r="G37" s="13"/>
      <c r="H37" s="13"/>
      <c r="I37" s="13"/>
      <c r="J37" s="13"/>
      <c r="K37" s="13"/>
      <c r="L37" s="13"/>
      <c r="M37" s="14"/>
      <c r="N37" s="5"/>
      <c r="O37" s="5"/>
    </row>
    <row r="38" spans="1:15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5"/>
      <c r="O38" s="5"/>
    </row>
    <row r="39" spans="1:15">
      <c r="A39" s="28" t="s">
        <v>91</v>
      </c>
      <c r="B39" s="32" t="s">
        <v>1819</v>
      </c>
      <c r="C39" s="32" t="s">
        <v>1820</v>
      </c>
      <c r="D39" s="32" t="s">
        <v>1820</v>
      </c>
      <c r="E39" s="32" t="s">
        <v>1821</v>
      </c>
      <c r="F39" s="32" t="s">
        <v>1819</v>
      </c>
      <c r="G39" s="32" t="s">
        <v>1822</v>
      </c>
      <c r="H39" s="32"/>
      <c r="I39" s="32"/>
      <c r="J39" s="32"/>
      <c r="K39" s="32"/>
      <c r="L39" s="30">
        <v>3829</v>
      </c>
      <c r="M39" s="32" t="s">
        <v>1823</v>
      </c>
      <c r="N39" s="5">
        <f>SUM(B39:L40)</f>
        <v>37952</v>
      </c>
      <c r="O39" s="5"/>
    </row>
    <row r="40" spans="1:15">
      <c r="A40" s="31"/>
      <c r="B40" s="30">
        <v>7991</v>
      </c>
      <c r="C40" s="30">
        <v>21917</v>
      </c>
      <c r="D40" s="30">
        <v>2358</v>
      </c>
      <c r="E40" s="30">
        <v>1482</v>
      </c>
      <c r="F40" s="30">
        <v>229</v>
      </c>
      <c r="G40" s="30">
        <v>146</v>
      </c>
      <c r="H40" s="30"/>
      <c r="I40" s="30"/>
      <c r="J40" s="30"/>
      <c r="K40" s="30"/>
      <c r="L40" s="30"/>
      <c r="M40" s="33"/>
      <c r="N40" s="5"/>
      <c r="O40" s="5"/>
    </row>
    <row r="41" spans="1: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5"/>
      <c r="O41" s="5"/>
    </row>
    <row r="42" spans="1:15">
      <c r="A42" s="11" t="s">
        <v>94</v>
      </c>
      <c r="B42" s="12" t="s">
        <v>1824</v>
      </c>
      <c r="C42" s="12" t="s">
        <v>1825</v>
      </c>
      <c r="D42" s="12" t="s">
        <v>1825</v>
      </c>
      <c r="E42" s="12" t="s">
        <v>1825</v>
      </c>
      <c r="F42" s="12"/>
      <c r="G42" s="12" t="s">
        <v>552</v>
      </c>
      <c r="H42" s="12" t="s">
        <v>1825</v>
      </c>
      <c r="I42" s="12" t="s">
        <v>588</v>
      </c>
      <c r="J42" s="12"/>
      <c r="K42" s="15"/>
      <c r="L42" s="13">
        <v>3192</v>
      </c>
      <c r="M42" s="12" t="s">
        <v>1826</v>
      </c>
      <c r="N42" s="5">
        <f>SUM(B42:L43)</f>
        <v>38946</v>
      </c>
      <c r="O42" s="5"/>
    </row>
    <row r="43" spans="1:15">
      <c r="A43" s="5"/>
      <c r="B43" s="13">
        <v>20362</v>
      </c>
      <c r="C43" s="13">
        <v>12327</v>
      </c>
      <c r="D43" s="13">
        <v>981</v>
      </c>
      <c r="E43" s="13">
        <v>901</v>
      </c>
      <c r="F43" s="13"/>
      <c r="G43" s="13">
        <v>152</v>
      </c>
      <c r="H43" s="13">
        <v>723</v>
      </c>
      <c r="I43" s="13">
        <v>308</v>
      </c>
      <c r="J43" s="13"/>
      <c r="K43" s="13"/>
      <c r="L43" s="13"/>
      <c r="M43" s="14"/>
      <c r="N43" s="5"/>
      <c r="O43" s="5"/>
    </row>
    <row r="44" spans="1:15">
      <c r="A44" s="5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5"/>
      <c r="O44" s="5"/>
    </row>
    <row r="45" spans="1:15">
      <c r="A45" s="28" t="s">
        <v>104</v>
      </c>
      <c r="B45" s="32" t="s">
        <v>1827</v>
      </c>
      <c r="C45" s="32" t="s">
        <v>1302</v>
      </c>
      <c r="D45" s="32" t="s">
        <v>1302</v>
      </c>
      <c r="E45" s="32" t="s">
        <v>1302</v>
      </c>
      <c r="F45" s="32" t="s">
        <v>1827</v>
      </c>
      <c r="G45" s="32" t="s">
        <v>1827</v>
      </c>
      <c r="H45" s="32" t="s">
        <v>1828</v>
      </c>
      <c r="I45" s="32" t="s">
        <v>1543</v>
      </c>
      <c r="J45" s="32"/>
      <c r="K45" s="29"/>
      <c r="L45" s="30">
        <v>3952</v>
      </c>
      <c r="M45" s="32" t="s">
        <v>1303</v>
      </c>
      <c r="N45" s="5">
        <f>SUM(B45:L46)</f>
        <v>40075</v>
      </c>
      <c r="O45" s="5"/>
    </row>
    <row r="46" spans="1:15">
      <c r="A46" s="31"/>
      <c r="B46" s="30">
        <v>12267</v>
      </c>
      <c r="C46" s="30">
        <v>19116</v>
      </c>
      <c r="D46" s="30">
        <v>1599</v>
      </c>
      <c r="E46" s="30">
        <v>1029</v>
      </c>
      <c r="F46" s="30">
        <v>368</v>
      </c>
      <c r="G46" s="30">
        <v>216</v>
      </c>
      <c r="H46" s="30">
        <v>1282</v>
      </c>
      <c r="I46" s="30">
        <v>246</v>
      </c>
      <c r="J46" s="30"/>
      <c r="K46" s="29"/>
      <c r="L46" s="30"/>
      <c r="M46" s="33"/>
      <c r="N46" s="5"/>
      <c r="O46" s="5"/>
    </row>
    <row r="47" spans="1:15">
      <c r="A47" s="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5"/>
      <c r="O47" s="5"/>
    </row>
    <row r="48" spans="1:15">
      <c r="A48" s="11" t="s">
        <v>110</v>
      </c>
      <c r="B48" s="12" t="s">
        <v>1829</v>
      </c>
      <c r="C48" s="12" t="s">
        <v>1627</v>
      </c>
      <c r="D48" s="12" t="s">
        <v>1627</v>
      </c>
      <c r="E48" s="12" t="s">
        <v>1627</v>
      </c>
      <c r="F48" s="12" t="s">
        <v>1627</v>
      </c>
      <c r="G48" s="12" t="s">
        <v>1829</v>
      </c>
      <c r="H48" s="12" t="s">
        <v>509</v>
      </c>
      <c r="I48" s="12"/>
      <c r="J48" s="12"/>
      <c r="K48" s="15"/>
      <c r="L48" s="13">
        <v>3540</v>
      </c>
      <c r="M48" s="12" t="s">
        <v>1628</v>
      </c>
      <c r="N48" s="5">
        <f>SUM(B48:L49)</f>
        <v>36975</v>
      </c>
      <c r="O48" s="5"/>
    </row>
    <row r="49" spans="1:15">
      <c r="A49" s="5"/>
      <c r="B49" s="13">
        <v>9105</v>
      </c>
      <c r="C49" s="13">
        <v>20081</v>
      </c>
      <c r="D49" s="13">
        <v>1554</v>
      </c>
      <c r="E49" s="13">
        <v>1281</v>
      </c>
      <c r="F49" s="13">
        <v>256</v>
      </c>
      <c r="G49" s="13">
        <v>183</v>
      </c>
      <c r="H49" s="13">
        <v>975</v>
      </c>
      <c r="I49" s="13"/>
      <c r="J49" s="13"/>
      <c r="K49" s="13"/>
      <c r="L49" s="13"/>
      <c r="M49" s="14"/>
      <c r="N49" s="5"/>
      <c r="O49" s="5"/>
    </row>
    <row r="50" spans="1:15">
      <c r="A50" s="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5"/>
      <c r="O50" s="5"/>
    </row>
    <row r="51" spans="1:15">
      <c r="A51" s="28" t="s">
        <v>114</v>
      </c>
      <c r="B51" s="32" t="s">
        <v>1464</v>
      </c>
      <c r="C51" s="32" t="s">
        <v>1830</v>
      </c>
      <c r="D51" s="32" t="s">
        <v>1831</v>
      </c>
      <c r="E51" s="32" t="s">
        <v>1631</v>
      </c>
      <c r="F51" s="32" t="s">
        <v>1631</v>
      </c>
      <c r="G51" s="32" t="s">
        <v>1466</v>
      </c>
      <c r="H51" s="32"/>
      <c r="I51" s="32"/>
      <c r="J51" s="32"/>
      <c r="K51" s="29"/>
      <c r="L51" s="30">
        <v>3030</v>
      </c>
      <c r="M51" s="32" t="s">
        <v>1467</v>
      </c>
      <c r="N51" s="5">
        <f>SUM(B51:L52)</f>
        <v>40448</v>
      </c>
      <c r="O51" s="5"/>
    </row>
    <row r="52" spans="1:15">
      <c r="A52" s="31"/>
      <c r="B52" s="30">
        <v>22894</v>
      </c>
      <c r="C52" s="30">
        <v>10527</v>
      </c>
      <c r="D52" s="30">
        <v>1590</v>
      </c>
      <c r="E52" s="30">
        <v>1208</v>
      </c>
      <c r="F52" s="30">
        <v>733</v>
      </c>
      <c r="G52" s="30">
        <v>466</v>
      </c>
      <c r="H52" s="30"/>
      <c r="I52" s="30"/>
      <c r="J52" s="30"/>
      <c r="K52" s="30"/>
      <c r="L52" s="30"/>
      <c r="M52" s="33"/>
      <c r="N52" s="5"/>
      <c r="O52" s="5"/>
    </row>
    <row r="53" spans="1:15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5"/>
      <c r="O53" s="5"/>
    </row>
    <row r="54" spans="1:15">
      <c r="A54" s="11" t="s">
        <v>128</v>
      </c>
      <c r="B54" s="12" t="s">
        <v>1832</v>
      </c>
      <c r="C54" s="12" t="s">
        <v>1632</v>
      </c>
      <c r="D54" s="12" t="s">
        <v>1632</v>
      </c>
      <c r="E54" s="12" t="s">
        <v>1632</v>
      </c>
      <c r="F54" s="12"/>
      <c r="G54" s="12" t="s">
        <v>1833</v>
      </c>
      <c r="H54" s="12" t="s">
        <v>1834</v>
      </c>
      <c r="I54" s="12"/>
      <c r="J54" s="12"/>
      <c r="K54" s="15"/>
      <c r="L54" s="13">
        <v>4316</v>
      </c>
      <c r="M54" s="12" t="s">
        <v>1633</v>
      </c>
      <c r="N54" s="5">
        <f>SUM(B54:L55)</f>
        <v>42102</v>
      </c>
      <c r="O54" s="5"/>
    </row>
    <row r="55" spans="1:15">
      <c r="A55" s="5"/>
      <c r="B55" s="13">
        <v>10494</v>
      </c>
      <c r="C55" s="13">
        <v>22567</v>
      </c>
      <c r="D55" s="13">
        <v>2010</v>
      </c>
      <c r="E55" s="13">
        <v>1388</v>
      </c>
      <c r="F55" s="13"/>
      <c r="G55" s="13">
        <v>189</v>
      </c>
      <c r="H55" s="13">
        <v>1138</v>
      </c>
      <c r="I55" s="13"/>
      <c r="J55" s="13"/>
      <c r="K55" s="13"/>
      <c r="L55" s="13"/>
      <c r="M55" s="14"/>
      <c r="N55" s="5"/>
      <c r="O55" s="5"/>
    </row>
    <row r="56" spans="1:15">
      <c r="A56" s="5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5"/>
      <c r="O56" s="5"/>
    </row>
    <row r="57" spans="1:15">
      <c r="A57" s="28" t="s">
        <v>133</v>
      </c>
      <c r="B57" s="32" t="s">
        <v>221</v>
      </c>
      <c r="C57" s="32" t="s">
        <v>1835</v>
      </c>
      <c r="D57" s="32" t="s">
        <v>1835</v>
      </c>
      <c r="E57" s="32" t="s">
        <v>221</v>
      </c>
      <c r="F57" s="32"/>
      <c r="G57" s="32" t="s">
        <v>221</v>
      </c>
      <c r="H57" s="32" t="s">
        <v>1835</v>
      </c>
      <c r="I57" s="32"/>
      <c r="J57" s="32"/>
      <c r="K57" s="32"/>
      <c r="L57" s="30">
        <v>4605</v>
      </c>
      <c r="M57" s="32" t="s">
        <v>222</v>
      </c>
      <c r="N57" s="5">
        <f>SUM(B57:L58)</f>
        <v>26561</v>
      </c>
      <c r="O57" s="5"/>
    </row>
    <row r="58" spans="1:15">
      <c r="A58" s="31"/>
      <c r="B58" s="30">
        <v>16144</v>
      </c>
      <c r="C58" s="30">
        <v>4356</v>
      </c>
      <c r="D58" s="30">
        <v>358</v>
      </c>
      <c r="E58" s="30">
        <v>524</v>
      </c>
      <c r="F58" s="30"/>
      <c r="G58" s="30">
        <v>174</v>
      </c>
      <c r="H58" s="30">
        <v>400</v>
      </c>
      <c r="I58" s="30"/>
      <c r="J58" s="30"/>
      <c r="K58" s="30"/>
      <c r="L58" s="30"/>
      <c r="M58" s="33"/>
      <c r="N58" s="5"/>
      <c r="O58" s="5"/>
    </row>
    <row r="59" spans="1:15">
      <c r="A59" s="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5"/>
      <c r="O59" s="5"/>
    </row>
    <row r="60" spans="1:15">
      <c r="A60" s="11" t="s">
        <v>138</v>
      </c>
      <c r="B60" s="12" t="s">
        <v>840</v>
      </c>
      <c r="C60" s="12" t="s">
        <v>213</v>
      </c>
      <c r="D60" s="12" t="s">
        <v>213</v>
      </c>
      <c r="E60" s="12" t="s">
        <v>213</v>
      </c>
      <c r="F60" s="12" t="s">
        <v>840</v>
      </c>
      <c r="G60" s="12"/>
      <c r="H60" s="12"/>
      <c r="I60" s="12"/>
      <c r="J60" s="12"/>
      <c r="K60" s="15"/>
      <c r="L60" s="13">
        <v>4378</v>
      </c>
      <c r="M60" s="12" t="s">
        <v>214</v>
      </c>
      <c r="N60" s="5">
        <f>SUM(B60:L61)</f>
        <v>39854</v>
      </c>
      <c r="O60" s="5"/>
    </row>
    <row r="61" spans="1:15">
      <c r="A61" s="5"/>
      <c r="B61" s="13">
        <v>13359</v>
      </c>
      <c r="C61" s="13">
        <v>18876</v>
      </c>
      <c r="D61" s="13">
        <v>1795</v>
      </c>
      <c r="E61" s="13">
        <v>1082</v>
      </c>
      <c r="F61" s="13">
        <v>364</v>
      </c>
      <c r="G61" s="13"/>
      <c r="H61" s="13"/>
      <c r="I61" s="13"/>
      <c r="J61" s="13"/>
      <c r="K61" s="13"/>
      <c r="L61" s="13"/>
      <c r="M61" s="14"/>
      <c r="N61" s="5"/>
      <c r="O61" s="5"/>
    </row>
    <row r="62" spans="1:15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5"/>
      <c r="O62" s="5"/>
    </row>
    <row r="63" spans="1:15">
      <c r="A63" s="28" t="s">
        <v>141</v>
      </c>
      <c r="B63" s="32" t="s">
        <v>947</v>
      </c>
      <c r="C63" s="32" t="s">
        <v>1395</v>
      </c>
      <c r="D63" s="32" t="s">
        <v>1395</v>
      </c>
      <c r="E63" s="32" t="s">
        <v>1637</v>
      </c>
      <c r="F63" s="32"/>
      <c r="G63" s="32" t="s">
        <v>949</v>
      </c>
      <c r="H63" s="32" t="s">
        <v>1395</v>
      </c>
      <c r="I63" s="32"/>
      <c r="J63" s="32"/>
      <c r="K63" s="29"/>
      <c r="L63" s="30">
        <v>3582</v>
      </c>
      <c r="M63" s="32" t="s">
        <v>951</v>
      </c>
      <c r="N63" s="5">
        <f>SUM(B63:L64)</f>
        <v>38100</v>
      </c>
      <c r="O63" s="5"/>
    </row>
    <row r="64" spans="1:15">
      <c r="A64" s="31"/>
      <c r="B64" s="30">
        <v>21531</v>
      </c>
      <c r="C64" s="30">
        <v>9954</v>
      </c>
      <c r="D64" s="30">
        <v>754</v>
      </c>
      <c r="E64" s="30">
        <v>1353</v>
      </c>
      <c r="F64" s="30"/>
      <c r="G64" s="30">
        <v>374</v>
      </c>
      <c r="H64" s="30">
        <v>552</v>
      </c>
      <c r="I64" s="30"/>
      <c r="J64" s="30"/>
      <c r="K64" s="30"/>
      <c r="L64" s="30"/>
      <c r="M64" s="33"/>
      <c r="N64" s="5"/>
      <c r="O64" s="5"/>
    </row>
    <row r="65" spans="1:15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5"/>
      <c r="O65" s="5"/>
    </row>
    <row r="66" spans="1:15">
      <c r="A66" s="11" t="s">
        <v>147</v>
      </c>
      <c r="B66" s="12" t="s">
        <v>1836</v>
      </c>
      <c r="C66" s="12" t="s">
        <v>1312</v>
      </c>
      <c r="D66" s="12" t="s">
        <v>1312</v>
      </c>
      <c r="E66" s="12" t="s">
        <v>1312</v>
      </c>
      <c r="F66" s="12" t="s">
        <v>1312</v>
      </c>
      <c r="G66" s="12" t="s">
        <v>1836</v>
      </c>
      <c r="H66" s="12" t="s">
        <v>1837</v>
      </c>
      <c r="I66" s="12"/>
      <c r="J66" s="12"/>
      <c r="K66" s="15"/>
      <c r="L66" s="13">
        <v>3556</v>
      </c>
      <c r="M66" s="12" t="s">
        <v>1313</v>
      </c>
      <c r="N66" s="5">
        <f>SUM(B66:L67)</f>
        <v>37125</v>
      </c>
      <c r="O66" s="5"/>
    </row>
    <row r="67" spans="1:15">
      <c r="A67" s="5"/>
      <c r="B67" s="13">
        <v>9303</v>
      </c>
      <c r="C67" s="13">
        <v>20100</v>
      </c>
      <c r="D67" s="13">
        <v>1455</v>
      </c>
      <c r="E67" s="13">
        <v>1164</v>
      </c>
      <c r="F67" s="13">
        <v>391</v>
      </c>
      <c r="G67" s="13">
        <v>179</v>
      </c>
      <c r="H67" s="13">
        <v>977</v>
      </c>
      <c r="I67" s="13"/>
      <c r="J67" s="13"/>
      <c r="K67" s="13"/>
      <c r="L67" s="13"/>
      <c r="M67" s="14"/>
      <c r="N67" s="5"/>
      <c r="O67" s="5"/>
    </row>
    <row r="68" spans="1:15">
      <c r="A68" s="5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5"/>
      <c r="O68" s="5"/>
    </row>
    <row r="69" spans="1:15">
      <c r="A69" s="34" t="s">
        <v>152</v>
      </c>
      <c r="B69" s="32" t="s">
        <v>1798</v>
      </c>
      <c r="C69" s="32" t="s">
        <v>1639</v>
      </c>
      <c r="D69" s="32" t="s">
        <v>1108</v>
      </c>
      <c r="E69" s="32" t="s">
        <v>1108</v>
      </c>
      <c r="F69" s="32" t="s">
        <v>1985</v>
      </c>
      <c r="G69" s="32" t="s">
        <v>1838</v>
      </c>
      <c r="H69" s="32"/>
      <c r="I69" s="32" t="s">
        <v>1984</v>
      </c>
      <c r="J69" s="32"/>
      <c r="K69" s="32"/>
      <c r="L69" s="30">
        <v>2455</v>
      </c>
      <c r="M69" s="32" t="s">
        <v>1839</v>
      </c>
      <c r="N69" s="5">
        <f>SUM(B69:L70)</f>
        <v>15487</v>
      </c>
      <c r="O69" s="5"/>
    </row>
    <row r="70" spans="1:15">
      <c r="A70" s="31"/>
      <c r="B70" s="30">
        <v>5822</v>
      </c>
      <c r="C70" s="30">
        <v>2618</v>
      </c>
      <c r="D70" s="30">
        <v>857</v>
      </c>
      <c r="E70" s="30">
        <v>3192</v>
      </c>
      <c r="F70" s="30">
        <v>115</v>
      </c>
      <c r="G70" s="30">
        <v>263</v>
      </c>
      <c r="H70" s="30"/>
      <c r="I70" s="30">
        <v>165</v>
      </c>
      <c r="J70" s="30"/>
      <c r="K70" s="30"/>
      <c r="L70" s="30"/>
      <c r="M70" s="33"/>
      <c r="N70" s="5"/>
      <c r="O70" s="5"/>
    </row>
    <row r="71" spans="1:15">
      <c r="A71" s="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5"/>
      <c r="O71" s="5"/>
    </row>
    <row r="72" spans="1:15">
      <c r="A72" s="11" t="s">
        <v>156</v>
      </c>
      <c r="B72" s="12" t="s">
        <v>1110</v>
      </c>
      <c r="C72" s="12"/>
      <c r="D72" s="12"/>
      <c r="E72" s="12" t="s">
        <v>1840</v>
      </c>
      <c r="F72" s="12" t="s">
        <v>1112</v>
      </c>
      <c r="G72" s="12" t="s">
        <v>1112</v>
      </c>
      <c r="H72" s="12"/>
      <c r="I72" s="12"/>
      <c r="J72" s="12"/>
      <c r="K72" s="15"/>
      <c r="L72" s="13">
        <v>9774</v>
      </c>
      <c r="M72" s="12" t="s">
        <v>1113</v>
      </c>
      <c r="N72" s="5">
        <f>SUM(B72:L73)</f>
        <v>23623</v>
      </c>
      <c r="O72" s="5"/>
    </row>
    <row r="73" spans="1:15">
      <c r="A73" s="5"/>
      <c r="B73" s="13">
        <v>12165</v>
      </c>
      <c r="C73" s="13"/>
      <c r="D73" s="13"/>
      <c r="E73" s="13">
        <v>713</v>
      </c>
      <c r="F73" s="13">
        <v>503</v>
      </c>
      <c r="G73" s="13">
        <v>468</v>
      </c>
      <c r="H73" s="13"/>
      <c r="I73" s="13"/>
      <c r="J73" s="13"/>
      <c r="K73" s="13"/>
      <c r="L73" s="13"/>
      <c r="M73" s="14"/>
      <c r="N73" s="5"/>
      <c r="O73" s="5"/>
    </row>
    <row r="74" spans="1:15">
      <c r="A74" s="5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5"/>
      <c r="O74" s="5"/>
    </row>
    <row r="75" spans="1:15">
      <c r="A75" s="34" t="s">
        <v>163</v>
      </c>
      <c r="B75" s="32" t="s">
        <v>164</v>
      </c>
      <c r="C75" s="32" t="s">
        <v>1841</v>
      </c>
      <c r="D75" s="32" t="s">
        <v>1841</v>
      </c>
      <c r="E75" s="32" t="s">
        <v>1841</v>
      </c>
      <c r="F75" s="32" t="s">
        <v>789</v>
      </c>
      <c r="G75" s="32" t="s">
        <v>789</v>
      </c>
      <c r="H75" s="32"/>
      <c r="I75" s="32"/>
      <c r="J75" s="32"/>
      <c r="K75" s="29"/>
      <c r="L75" s="30">
        <v>4127</v>
      </c>
      <c r="M75" s="32" t="s">
        <v>1476</v>
      </c>
      <c r="N75" s="5">
        <f>SUM(B75:L76)</f>
        <v>28733</v>
      </c>
      <c r="O75" s="5"/>
    </row>
    <row r="76" spans="1:15">
      <c r="A76" s="31"/>
      <c r="B76" s="30">
        <v>17372</v>
      </c>
      <c r="C76" s="30">
        <v>5120</v>
      </c>
      <c r="D76" s="30">
        <v>710</v>
      </c>
      <c r="E76" s="30">
        <v>408</v>
      </c>
      <c r="F76" s="30">
        <v>482</v>
      </c>
      <c r="G76" s="30">
        <v>514</v>
      </c>
      <c r="H76" s="30"/>
      <c r="I76" s="30"/>
      <c r="J76" s="30"/>
      <c r="K76" s="30"/>
      <c r="L76" s="30"/>
      <c r="M76" s="33"/>
      <c r="N76" s="5"/>
      <c r="O76" s="5"/>
    </row>
    <row r="77" spans="1:15">
      <c r="A77" s="5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5"/>
      <c r="O77" s="5"/>
    </row>
    <row r="78" spans="1:15">
      <c r="A78" s="11" t="s">
        <v>168</v>
      </c>
      <c r="B78" s="12" t="s">
        <v>1642</v>
      </c>
      <c r="C78" s="12"/>
      <c r="D78" s="12"/>
      <c r="E78" s="12"/>
      <c r="F78" s="12" t="s">
        <v>278</v>
      </c>
      <c r="G78" s="12" t="s">
        <v>278</v>
      </c>
      <c r="H78" s="12"/>
      <c r="I78" s="12"/>
      <c r="J78" s="12"/>
      <c r="K78" s="15"/>
      <c r="L78" s="13">
        <v>7561</v>
      </c>
      <c r="M78" s="12" t="s">
        <v>1643</v>
      </c>
      <c r="N78" s="5">
        <f>SUM(B78:L79)</f>
        <v>17738</v>
      </c>
      <c r="O78" s="5"/>
    </row>
    <row r="79" spans="1:15">
      <c r="A79" s="5"/>
      <c r="B79" s="13">
        <v>9414</v>
      </c>
      <c r="C79" s="13"/>
      <c r="D79" s="13"/>
      <c r="E79" s="13"/>
      <c r="F79" s="13">
        <v>433</v>
      </c>
      <c r="G79" s="13">
        <v>330</v>
      </c>
      <c r="H79" s="13"/>
      <c r="I79" s="13"/>
      <c r="J79" s="13"/>
      <c r="K79" s="13"/>
      <c r="L79" s="13"/>
      <c r="M79" s="14"/>
      <c r="N79" s="5"/>
      <c r="O79" s="5"/>
    </row>
    <row r="80" spans="1:15">
      <c r="A80" s="5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5"/>
      <c r="O80" s="5"/>
    </row>
    <row r="81" spans="1:15">
      <c r="A81" s="28" t="s">
        <v>174</v>
      </c>
      <c r="B81" s="32" t="s">
        <v>1316</v>
      </c>
      <c r="C81" s="32" t="s">
        <v>1842</v>
      </c>
      <c r="D81" s="32" t="s">
        <v>1842</v>
      </c>
      <c r="E81" s="32" t="s">
        <v>1842</v>
      </c>
      <c r="F81" s="32" t="s">
        <v>1316</v>
      </c>
      <c r="G81" s="32"/>
      <c r="H81" s="32"/>
      <c r="I81" s="32"/>
      <c r="J81" s="32"/>
      <c r="K81" s="32"/>
      <c r="L81" s="30">
        <v>3699</v>
      </c>
      <c r="M81" s="32" t="s">
        <v>1318</v>
      </c>
      <c r="N81" s="5">
        <f>SUM(B81:L82)</f>
        <v>29744</v>
      </c>
      <c r="O81" s="5"/>
    </row>
    <row r="82" spans="1:15">
      <c r="A82" s="31"/>
      <c r="B82" s="30">
        <v>16850</v>
      </c>
      <c r="C82" s="30">
        <v>7146</v>
      </c>
      <c r="D82" s="30">
        <v>867</v>
      </c>
      <c r="E82" s="30">
        <v>480</v>
      </c>
      <c r="F82" s="30">
        <v>702</v>
      </c>
      <c r="G82" s="30"/>
      <c r="H82" s="30"/>
      <c r="I82" s="30"/>
      <c r="J82" s="30"/>
      <c r="K82" s="30"/>
      <c r="L82" s="30"/>
      <c r="M82" s="33"/>
      <c r="N82" s="5"/>
      <c r="O82" s="5"/>
    </row>
    <row r="83" spans="1: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>
      <c r="A84" s="8" t="s">
        <v>176</v>
      </c>
      <c r="B84" s="12" t="s">
        <v>1119</v>
      </c>
      <c r="C84" s="12"/>
      <c r="D84" s="12"/>
      <c r="E84" s="12"/>
      <c r="F84" s="12" t="s">
        <v>1120</v>
      </c>
      <c r="G84" s="12" t="s">
        <v>1120</v>
      </c>
      <c r="H84" s="12"/>
      <c r="I84" s="12"/>
      <c r="J84" s="12"/>
      <c r="K84" s="15"/>
      <c r="L84" s="13">
        <v>8860</v>
      </c>
      <c r="M84" s="12" t="s">
        <v>1121</v>
      </c>
      <c r="N84" s="5">
        <f>SUM(B84:L85)</f>
        <v>20288</v>
      </c>
      <c r="O84" s="5"/>
    </row>
    <row r="85" spans="1:15">
      <c r="A85" s="5"/>
      <c r="B85" s="13">
        <v>10671</v>
      </c>
      <c r="C85" s="13"/>
      <c r="D85" s="13"/>
      <c r="E85" s="13"/>
      <c r="F85" s="13">
        <v>408</v>
      </c>
      <c r="G85" s="13">
        <v>349</v>
      </c>
      <c r="H85" s="13"/>
      <c r="I85" s="13"/>
      <c r="J85" s="13"/>
      <c r="K85" s="13"/>
      <c r="L85" s="13"/>
      <c r="M85" s="14"/>
      <c r="N85" s="5"/>
      <c r="O85" s="5"/>
    </row>
    <row r="86" spans="1:15">
      <c r="A86" s="5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/>
      <c r="N86" s="5"/>
      <c r="O86" s="5"/>
    </row>
    <row r="87" spans="1:15">
      <c r="A87" s="34" t="s">
        <v>179</v>
      </c>
      <c r="B87" s="32" t="s">
        <v>1458</v>
      </c>
      <c r="C87" s="32" t="s">
        <v>1844</v>
      </c>
      <c r="D87" s="32" t="s">
        <v>1844</v>
      </c>
      <c r="E87" s="32"/>
      <c r="F87" s="32" t="s">
        <v>1458</v>
      </c>
      <c r="G87" s="32" t="s">
        <v>1458</v>
      </c>
      <c r="H87" s="32"/>
      <c r="I87" s="32"/>
      <c r="J87" s="32"/>
      <c r="K87" s="32"/>
      <c r="L87" s="30">
        <v>5390</v>
      </c>
      <c r="M87" s="29" t="s">
        <v>1845</v>
      </c>
      <c r="N87" s="5">
        <f>SUM(B87:L88)</f>
        <v>24923</v>
      </c>
      <c r="O87" s="5"/>
    </row>
    <row r="88" spans="1:15">
      <c r="A88" s="31"/>
      <c r="B88" s="30">
        <v>12019</v>
      </c>
      <c r="C88" s="30">
        <v>5930</v>
      </c>
      <c r="D88" s="30">
        <v>711</v>
      </c>
      <c r="E88" s="30"/>
      <c r="F88" s="30">
        <v>377</v>
      </c>
      <c r="G88" s="30">
        <v>496</v>
      </c>
      <c r="H88" s="30"/>
      <c r="I88" s="30"/>
      <c r="J88" s="30"/>
      <c r="K88" s="30"/>
      <c r="L88" s="30"/>
      <c r="M88" s="33"/>
      <c r="N88" s="5"/>
      <c r="O88" s="5"/>
    </row>
    <row r="89" spans="1:15">
      <c r="A89" s="5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5"/>
      <c r="O89" s="5"/>
    </row>
    <row r="90" spans="1:15">
      <c r="A90" s="11" t="s">
        <v>181</v>
      </c>
      <c r="B90" s="12" t="s">
        <v>790</v>
      </c>
      <c r="C90" s="12" t="s">
        <v>1846</v>
      </c>
      <c r="D90" s="12"/>
      <c r="E90" s="12"/>
      <c r="F90" s="12" t="s">
        <v>791</v>
      </c>
      <c r="G90" s="12" t="s">
        <v>791</v>
      </c>
      <c r="H90" s="12"/>
      <c r="I90" s="12"/>
      <c r="J90" s="12"/>
      <c r="K90" s="15"/>
      <c r="L90" s="13">
        <v>5850</v>
      </c>
      <c r="M90" s="15" t="s">
        <v>792</v>
      </c>
      <c r="N90" s="5">
        <f>SUM(B90:L91)</f>
        <v>23847</v>
      </c>
      <c r="O90" s="5"/>
    </row>
    <row r="91" spans="1:15">
      <c r="A91" s="5"/>
      <c r="B91" s="13">
        <v>16178</v>
      </c>
      <c r="C91" s="13">
        <v>1112</v>
      </c>
      <c r="D91" s="13"/>
      <c r="E91" s="13"/>
      <c r="F91" s="13">
        <v>580</v>
      </c>
      <c r="G91" s="13">
        <v>127</v>
      </c>
      <c r="H91" s="13"/>
      <c r="I91" s="13"/>
      <c r="J91" s="13"/>
      <c r="K91" s="13"/>
      <c r="L91" s="13"/>
      <c r="M91" s="13"/>
      <c r="N91" s="5"/>
      <c r="O91" s="5"/>
    </row>
    <row r="92" spans="1: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>
      <c r="A93" s="33" t="s">
        <v>4</v>
      </c>
      <c r="B93" s="32" t="s">
        <v>793</v>
      </c>
      <c r="C93" s="32"/>
      <c r="D93" s="32"/>
      <c r="E93" s="32"/>
      <c r="F93" s="32"/>
      <c r="G93" s="32"/>
      <c r="H93" s="32"/>
      <c r="I93" s="32"/>
      <c r="J93" s="32"/>
      <c r="K93" s="32"/>
      <c r="L93" s="30">
        <v>9928</v>
      </c>
      <c r="M93" s="32" t="s">
        <v>794</v>
      </c>
      <c r="N93" s="5">
        <f>SUM(B93:L94)</f>
        <v>18146</v>
      </c>
      <c r="O93" s="5"/>
    </row>
    <row r="94" spans="1:15">
      <c r="A94" s="30"/>
      <c r="B94" s="30">
        <v>8218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3"/>
      <c r="N94" s="5"/>
      <c r="O94" s="5"/>
    </row>
    <row r="95" spans="1: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5"/>
      <c r="O95" s="5"/>
    </row>
    <row r="96" spans="1:15">
      <c r="A96" s="14" t="s">
        <v>12</v>
      </c>
      <c r="B96" s="12" t="s">
        <v>223</v>
      </c>
      <c r="C96" s="12" t="s">
        <v>1847</v>
      </c>
      <c r="D96" s="12" t="s">
        <v>1848</v>
      </c>
      <c r="E96" s="12" t="s">
        <v>1481</v>
      </c>
      <c r="F96" s="12" t="s">
        <v>223</v>
      </c>
      <c r="G96" s="12" t="s">
        <v>223</v>
      </c>
      <c r="H96" s="12"/>
      <c r="I96" s="12"/>
      <c r="J96" s="12"/>
      <c r="K96" s="12"/>
      <c r="L96" s="13">
        <v>5010</v>
      </c>
      <c r="M96" s="12" t="s">
        <v>1482</v>
      </c>
      <c r="N96" s="5">
        <f>SUM(B96:L97)</f>
        <v>18473</v>
      </c>
      <c r="O96" s="5"/>
    </row>
    <row r="97" spans="1:15">
      <c r="A97" s="13"/>
      <c r="B97" s="13">
        <v>11020</v>
      </c>
      <c r="C97" s="13">
        <v>1110</v>
      </c>
      <c r="D97" s="13">
        <v>198</v>
      </c>
      <c r="E97" s="13">
        <v>605</v>
      </c>
      <c r="F97" s="13">
        <v>408</v>
      </c>
      <c r="G97" s="13">
        <v>122</v>
      </c>
      <c r="H97" s="13"/>
      <c r="I97" s="13"/>
      <c r="J97" s="13"/>
      <c r="K97" s="13"/>
      <c r="L97" s="13"/>
      <c r="M97" s="14"/>
      <c r="N97" s="5"/>
      <c r="O97" s="5"/>
    </row>
    <row r="98" spans="1: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5"/>
      <c r="O98" s="5"/>
    </row>
    <row r="99" spans="1:15">
      <c r="A99" s="33" t="s">
        <v>19</v>
      </c>
      <c r="B99" s="32" t="s">
        <v>20</v>
      </c>
      <c r="C99" s="32"/>
      <c r="D99" s="32"/>
      <c r="E99" s="32" t="s">
        <v>1214</v>
      </c>
      <c r="F99" s="32"/>
      <c r="G99" s="32" t="s">
        <v>1441</v>
      </c>
      <c r="H99" s="32"/>
      <c r="I99" s="32"/>
      <c r="J99" s="32"/>
      <c r="K99" s="32"/>
      <c r="L99" s="30">
        <v>6377</v>
      </c>
      <c r="M99" s="32" t="s">
        <v>21</v>
      </c>
      <c r="N99" s="5">
        <f>SUM(B99:L100)</f>
        <v>22284</v>
      </c>
      <c r="O99" s="5"/>
    </row>
    <row r="100" spans="1:15">
      <c r="A100" s="30"/>
      <c r="B100" s="30">
        <v>15096</v>
      </c>
      <c r="C100" s="30"/>
      <c r="D100" s="30"/>
      <c r="E100" s="30">
        <v>645</v>
      </c>
      <c r="F100" s="30"/>
      <c r="G100" s="30">
        <v>166</v>
      </c>
      <c r="H100" s="30"/>
      <c r="I100" s="30"/>
      <c r="J100" s="30"/>
      <c r="K100" s="30"/>
      <c r="L100" s="30"/>
      <c r="M100" s="33"/>
      <c r="N100" s="5"/>
      <c r="O100" s="5"/>
    </row>
    <row r="101" spans="1: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5"/>
      <c r="O101" s="5"/>
    </row>
    <row r="102" spans="1:15">
      <c r="A102" s="14" t="s">
        <v>30</v>
      </c>
      <c r="B102" s="12" t="s">
        <v>795</v>
      </c>
      <c r="C102" s="12" t="s">
        <v>1849</v>
      </c>
      <c r="D102" s="12" t="s">
        <v>1849</v>
      </c>
      <c r="E102" s="12" t="s">
        <v>1849</v>
      </c>
      <c r="F102" s="12" t="s">
        <v>796</v>
      </c>
      <c r="G102" s="12" t="s">
        <v>796</v>
      </c>
      <c r="H102" s="12"/>
      <c r="I102" s="12"/>
      <c r="J102" s="12"/>
      <c r="K102" s="12"/>
      <c r="L102" s="13">
        <v>5059</v>
      </c>
      <c r="M102" s="12" t="s">
        <v>797</v>
      </c>
      <c r="N102" s="5">
        <f>SUM(B102:L103)</f>
        <v>26043</v>
      </c>
      <c r="O102" s="5"/>
    </row>
    <row r="103" spans="1:15">
      <c r="A103" s="13"/>
      <c r="B103" s="13">
        <v>16789</v>
      </c>
      <c r="C103" s="13">
        <v>2306</v>
      </c>
      <c r="D103" s="13">
        <v>354</v>
      </c>
      <c r="E103" s="13">
        <v>371</v>
      </c>
      <c r="F103" s="13">
        <v>940</v>
      </c>
      <c r="G103" s="13">
        <v>224</v>
      </c>
      <c r="H103" s="13"/>
      <c r="I103" s="13"/>
      <c r="J103" s="13"/>
      <c r="K103" s="14"/>
      <c r="L103" s="13"/>
      <c r="M103" s="14"/>
      <c r="N103" s="5"/>
      <c r="O103" s="5"/>
    </row>
    <row r="104" spans="1: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5"/>
      <c r="O104" s="5"/>
    </row>
    <row r="105" spans="1:15">
      <c r="A105" s="33" t="s">
        <v>34</v>
      </c>
      <c r="B105" s="32" t="s">
        <v>1483</v>
      </c>
      <c r="C105" s="32"/>
      <c r="D105" s="32"/>
      <c r="E105" s="32"/>
      <c r="F105" s="32" t="s">
        <v>1605</v>
      </c>
      <c r="G105" s="32" t="s">
        <v>1605</v>
      </c>
      <c r="H105" s="32"/>
      <c r="I105" s="32"/>
      <c r="J105" s="32"/>
      <c r="K105" s="32"/>
      <c r="L105" s="30">
        <v>6266</v>
      </c>
      <c r="M105" s="32" t="s">
        <v>1484</v>
      </c>
      <c r="N105" s="5">
        <f>SUM(B105:L106)</f>
        <v>14215</v>
      </c>
      <c r="O105" s="5"/>
    </row>
    <row r="106" spans="1:15">
      <c r="A106" s="30"/>
      <c r="B106" s="30">
        <v>7354</v>
      </c>
      <c r="C106" s="30"/>
      <c r="D106" s="30"/>
      <c r="E106" s="30"/>
      <c r="F106" s="30">
        <v>331</v>
      </c>
      <c r="G106" s="30">
        <v>264</v>
      </c>
      <c r="H106" s="33"/>
      <c r="I106" s="33"/>
      <c r="J106" s="33"/>
      <c r="K106" s="33"/>
      <c r="L106" s="30"/>
      <c r="M106" s="33"/>
      <c r="N106" s="5"/>
      <c r="O106" s="5"/>
    </row>
    <row r="107" spans="1: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5"/>
      <c r="O107" s="5"/>
    </row>
    <row r="108" spans="1:15">
      <c r="A108" s="14" t="s">
        <v>41</v>
      </c>
      <c r="B108" s="12" t="s">
        <v>42</v>
      </c>
      <c r="C108" s="12"/>
      <c r="D108" s="12"/>
      <c r="E108" s="12"/>
      <c r="F108" s="12" t="s">
        <v>957</v>
      </c>
      <c r="G108" s="12" t="s">
        <v>957</v>
      </c>
      <c r="H108" s="12"/>
      <c r="I108" s="12"/>
      <c r="J108" s="12"/>
      <c r="K108" s="12"/>
      <c r="L108" s="13">
        <v>6192</v>
      </c>
      <c r="M108" s="12" t="s">
        <v>43</v>
      </c>
      <c r="N108" s="5">
        <f>SUM(B108:L109)</f>
        <v>14696</v>
      </c>
      <c r="O108" s="5"/>
    </row>
    <row r="109" spans="1:15">
      <c r="A109" s="13"/>
      <c r="B109" s="13">
        <v>8087</v>
      </c>
      <c r="C109" s="13"/>
      <c r="D109" s="13"/>
      <c r="E109" s="13"/>
      <c r="F109" s="13">
        <v>244</v>
      </c>
      <c r="G109" s="13">
        <v>173</v>
      </c>
      <c r="H109" s="14"/>
      <c r="I109" s="14"/>
      <c r="J109" s="14"/>
      <c r="K109" s="14"/>
      <c r="L109" s="13"/>
      <c r="M109" s="14"/>
      <c r="N109" s="5"/>
      <c r="O109" s="5"/>
    </row>
    <row r="110" spans="1: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5"/>
      <c r="O110" s="5"/>
    </row>
    <row r="111" spans="1:15">
      <c r="A111" s="33" t="s">
        <v>47</v>
      </c>
      <c r="B111" s="32" t="s">
        <v>1321</v>
      </c>
      <c r="C111" s="32"/>
      <c r="D111" s="32"/>
      <c r="E111" s="32"/>
      <c r="F111" s="32" t="s">
        <v>1321</v>
      </c>
      <c r="G111" s="32"/>
      <c r="H111" s="32"/>
      <c r="I111" s="32" t="s">
        <v>1986</v>
      </c>
      <c r="J111" s="32"/>
      <c r="K111" s="32"/>
      <c r="L111" s="30">
        <v>7033</v>
      </c>
      <c r="M111" s="32" t="s">
        <v>1322</v>
      </c>
      <c r="N111" s="5">
        <f>SUM(B111:L112)</f>
        <v>17016</v>
      </c>
      <c r="O111" s="5"/>
    </row>
    <row r="112" spans="1:15">
      <c r="A112" s="30"/>
      <c r="B112" s="30">
        <v>8711</v>
      </c>
      <c r="C112" s="30"/>
      <c r="D112" s="30"/>
      <c r="E112" s="30"/>
      <c r="F112" s="30">
        <v>600</v>
      </c>
      <c r="G112" s="30"/>
      <c r="H112" s="30"/>
      <c r="I112" s="30">
        <v>672</v>
      </c>
      <c r="J112" s="30"/>
      <c r="K112" s="30"/>
      <c r="L112" s="30"/>
      <c r="M112" s="33"/>
      <c r="N112" s="5"/>
      <c r="O112" s="5"/>
    </row>
    <row r="113" spans="1: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5"/>
      <c r="O113" s="5"/>
    </row>
    <row r="114" spans="1:15">
      <c r="A114" s="14" t="s">
        <v>53</v>
      </c>
      <c r="B114" s="12" t="s">
        <v>54</v>
      </c>
      <c r="C114" s="12"/>
      <c r="D114" s="12"/>
      <c r="E114" s="12"/>
      <c r="F114" s="12" t="s">
        <v>302</v>
      </c>
      <c r="G114" s="12"/>
      <c r="H114" s="12"/>
      <c r="I114" s="12" t="s">
        <v>1987</v>
      </c>
      <c r="J114" s="12"/>
      <c r="K114" s="15"/>
      <c r="L114" s="13">
        <v>5864</v>
      </c>
      <c r="M114" s="12" t="s">
        <v>55</v>
      </c>
      <c r="N114" s="5">
        <f>SUM(B114:L115)</f>
        <v>15012</v>
      </c>
      <c r="O114" s="5"/>
    </row>
    <row r="115" spans="1:15">
      <c r="A115" s="13"/>
      <c r="B115" s="13">
        <v>8157</v>
      </c>
      <c r="C115" s="13"/>
      <c r="D115" s="13"/>
      <c r="E115" s="13"/>
      <c r="F115" s="13">
        <v>481</v>
      </c>
      <c r="G115" s="13"/>
      <c r="H115" s="13"/>
      <c r="I115" s="13">
        <v>510</v>
      </c>
      <c r="J115" s="13"/>
      <c r="K115" s="13"/>
      <c r="L115" s="13"/>
      <c r="M115" s="14"/>
      <c r="N115" s="5"/>
      <c r="O115" s="5"/>
    </row>
    <row r="116" spans="1: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5"/>
      <c r="O116" s="5"/>
    </row>
    <row r="117" spans="1:15">
      <c r="A117" s="33" t="s">
        <v>61</v>
      </c>
      <c r="B117" s="32" t="s">
        <v>1323</v>
      </c>
      <c r="C117" s="32"/>
      <c r="D117" s="32" t="s">
        <v>1323</v>
      </c>
      <c r="E117" s="32"/>
      <c r="F117" s="32"/>
      <c r="G117" s="32"/>
      <c r="H117" s="32"/>
      <c r="I117" s="32" t="s">
        <v>1988</v>
      </c>
      <c r="J117" s="32"/>
      <c r="K117" s="32"/>
      <c r="L117" s="30">
        <v>6677</v>
      </c>
      <c r="M117" s="32" t="s">
        <v>1324</v>
      </c>
      <c r="N117" s="5">
        <f>SUM(B117:L118)</f>
        <v>14651</v>
      </c>
      <c r="O117" s="5"/>
    </row>
    <row r="118" spans="1:15">
      <c r="A118" s="30"/>
      <c r="B118" s="30">
        <v>6547</v>
      </c>
      <c r="C118" s="30"/>
      <c r="D118" s="30">
        <v>1071</v>
      </c>
      <c r="E118" s="30"/>
      <c r="F118" s="30"/>
      <c r="G118" s="30"/>
      <c r="H118" s="30"/>
      <c r="I118" s="30">
        <v>356</v>
      </c>
      <c r="J118" s="30"/>
      <c r="K118" s="30"/>
      <c r="L118" s="30"/>
      <c r="M118" s="33"/>
      <c r="N118" s="5"/>
      <c r="O118" s="5"/>
    </row>
    <row r="119" spans="1: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5"/>
      <c r="O119" s="5"/>
    </row>
    <row r="120" spans="1:15">
      <c r="A120" s="14" t="s">
        <v>65</v>
      </c>
      <c r="B120" s="12" t="s">
        <v>1325</v>
      </c>
      <c r="C120" s="12" t="s">
        <v>1850</v>
      </c>
      <c r="D120" s="12" t="s">
        <v>1850</v>
      </c>
      <c r="E120" s="12" t="s">
        <v>1850</v>
      </c>
      <c r="F120" s="12" t="s">
        <v>1325</v>
      </c>
      <c r="G120" s="12"/>
      <c r="H120" s="12" t="s">
        <v>1850</v>
      </c>
      <c r="I120" s="12"/>
      <c r="J120" s="12"/>
      <c r="K120" s="12"/>
      <c r="L120" s="13">
        <v>2970</v>
      </c>
      <c r="M120" s="12" t="s">
        <v>1326</v>
      </c>
      <c r="N120" s="5">
        <f>SUM(B120:L121)</f>
        <v>10837</v>
      </c>
      <c r="O120" s="5"/>
    </row>
    <row r="121" spans="1:15">
      <c r="A121" s="13"/>
      <c r="B121" s="13">
        <v>5572</v>
      </c>
      <c r="C121" s="13">
        <v>1706</v>
      </c>
      <c r="D121" s="13">
        <v>145</v>
      </c>
      <c r="E121" s="13">
        <v>153</v>
      </c>
      <c r="F121" s="13">
        <v>210</v>
      </c>
      <c r="G121" s="13"/>
      <c r="H121" s="14">
        <v>81</v>
      </c>
      <c r="I121" s="14"/>
      <c r="J121" s="14"/>
      <c r="K121" s="14"/>
      <c r="L121" s="13"/>
      <c r="M121" s="14"/>
      <c r="N121" s="5"/>
      <c r="O121" s="5"/>
    </row>
    <row r="122" spans="1: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5"/>
      <c r="O122" s="5"/>
    </row>
    <row r="123" spans="1:15">
      <c r="A123" s="33" t="s">
        <v>71</v>
      </c>
      <c r="B123" s="32" t="s">
        <v>1214</v>
      </c>
      <c r="C123" s="32" t="s">
        <v>1851</v>
      </c>
      <c r="D123" s="32" t="s">
        <v>419</v>
      </c>
      <c r="E123" s="32"/>
      <c r="F123" s="32"/>
      <c r="G123" s="32"/>
      <c r="H123" s="32"/>
      <c r="I123" s="32"/>
      <c r="J123" s="32"/>
      <c r="K123" s="32"/>
      <c r="L123" s="30">
        <v>7729</v>
      </c>
      <c r="M123" s="32" t="s">
        <v>1486</v>
      </c>
      <c r="N123" s="5">
        <f>SUM(B123:L124)</f>
        <v>22019</v>
      </c>
      <c r="O123" s="5"/>
    </row>
    <row r="124" spans="1:15">
      <c r="A124" s="30"/>
      <c r="B124" s="30">
        <v>13496</v>
      </c>
      <c r="C124" s="30">
        <v>681</v>
      </c>
      <c r="D124" s="30">
        <v>113</v>
      </c>
      <c r="E124" s="30"/>
      <c r="F124" s="30"/>
      <c r="G124" s="30"/>
      <c r="H124" s="30"/>
      <c r="I124" s="30"/>
      <c r="J124" s="30"/>
      <c r="K124" s="33"/>
      <c r="L124" s="30"/>
      <c r="M124" s="33"/>
      <c r="N124" s="5"/>
      <c r="O124" s="5"/>
    </row>
    <row r="125" spans="1: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5"/>
      <c r="O125" s="5"/>
    </row>
    <row r="126" spans="1:15">
      <c r="A126" s="14" t="s">
        <v>75</v>
      </c>
      <c r="B126" s="12" t="s">
        <v>76</v>
      </c>
      <c r="C126" s="12" t="s">
        <v>1852</v>
      </c>
      <c r="D126" s="12" t="s">
        <v>1852</v>
      </c>
      <c r="E126" s="12"/>
      <c r="F126" s="12" t="s">
        <v>306</v>
      </c>
      <c r="G126" s="12"/>
      <c r="H126" s="12"/>
      <c r="I126" s="12"/>
      <c r="J126" s="12"/>
      <c r="K126" s="12"/>
      <c r="L126" s="13">
        <v>6079</v>
      </c>
      <c r="M126" s="12" t="s">
        <v>77</v>
      </c>
      <c r="N126" s="5">
        <f>SUM(B126:L127)</f>
        <v>24064</v>
      </c>
      <c r="O126" s="5"/>
    </row>
    <row r="127" spans="1:15">
      <c r="A127" s="13"/>
      <c r="B127" s="13">
        <v>14649</v>
      </c>
      <c r="C127" s="13">
        <v>2503</v>
      </c>
      <c r="D127" s="13">
        <v>366</v>
      </c>
      <c r="E127" s="13"/>
      <c r="F127" s="13">
        <v>467</v>
      </c>
      <c r="G127" s="13"/>
      <c r="H127" s="13"/>
      <c r="I127" s="13"/>
      <c r="J127" s="13"/>
      <c r="K127" s="13"/>
      <c r="L127" s="13"/>
      <c r="M127" s="14"/>
      <c r="N127" s="5"/>
      <c r="O127" s="5"/>
    </row>
    <row r="128" spans="1: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5"/>
      <c r="O128" s="5"/>
    </row>
    <row r="129" spans="1:15">
      <c r="A129" s="33" t="s">
        <v>82</v>
      </c>
      <c r="B129" s="32" t="s">
        <v>961</v>
      </c>
      <c r="C129" s="32"/>
      <c r="D129" s="32"/>
      <c r="E129" s="32"/>
      <c r="F129" s="32"/>
      <c r="G129" s="32" t="s">
        <v>962</v>
      </c>
      <c r="H129" s="32"/>
      <c r="I129" s="32"/>
      <c r="J129" s="32"/>
      <c r="K129" s="32"/>
      <c r="L129" s="30">
        <v>7117</v>
      </c>
      <c r="M129" s="32" t="s">
        <v>963</v>
      </c>
      <c r="N129" s="5">
        <f>SUM(B129:L130)</f>
        <v>17929</v>
      </c>
      <c r="O129" s="5"/>
    </row>
    <row r="130" spans="1:15">
      <c r="A130" s="30"/>
      <c r="B130" s="30">
        <v>10605</v>
      </c>
      <c r="C130" s="30"/>
      <c r="D130" s="30"/>
      <c r="E130" s="30"/>
      <c r="F130" s="30"/>
      <c r="G130" s="30">
        <v>207</v>
      </c>
      <c r="H130" s="33"/>
      <c r="I130" s="33"/>
      <c r="J130" s="33"/>
      <c r="K130" s="30"/>
      <c r="L130" s="30"/>
      <c r="M130" s="33"/>
      <c r="N130" s="5"/>
      <c r="O130" s="5"/>
    </row>
    <row r="131" spans="1: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5"/>
      <c r="O131" s="5"/>
    </row>
    <row r="132" spans="1:15">
      <c r="A132" s="14" t="s">
        <v>85</v>
      </c>
      <c r="B132" s="12" t="s">
        <v>1651</v>
      </c>
      <c r="C132" s="12" t="s">
        <v>407</v>
      </c>
      <c r="D132" s="12"/>
      <c r="E132" s="12" t="s">
        <v>1853</v>
      </c>
      <c r="F132" s="12" t="s">
        <v>1799</v>
      </c>
      <c r="G132" s="12"/>
      <c r="H132" s="12"/>
      <c r="I132" s="12"/>
      <c r="J132" s="12"/>
      <c r="K132" s="12"/>
      <c r="L132" s="13">
        <v>6155</v>
      </c>
      <c r="M132" s="12" t="s">
        <v>1652</v>
      </c>
      <c r="N132" s="5">
        <f>SUM(B132:L133)</f>
        <v>22044</v>
      </c>
      <c r="O132" s="5"/>
    </row>
    <row r="133" spans="1:15">
      <c r="A133" s="13"/>
      <c r="B133" s="13">
        <v>13487</v>
      </c>
      <c r="C133" s="13">
        <v>722</v>
      </c>
      <c r="D133" s="13"/>
      <c r="E133" s="13">
        <v>703</v>
      </c>
      <c r="F133" s="13">
        <v>977</v>
      </c>
      <c r="G133" s="13"/>
      <c r="H133" s="13"/>
      <c r="I133" s="13"/>
      <c r="J133" s="13"/>
      <c r="K133" s="13"/>
      <c r="L133" s="13"/>
      <c r="M133" s="14"/>
      <c r="N133" s="5"/>
      <c r="O133" s="5"/>
    </row>
    <row r="134" spans="1: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5"/>
      <c r="O134" s="5"/>
    </row>
    <row r="135" spans="1:15">
      <c r="A135" s="33" t="s">
        <v>90</v>
      </c>
      <c r="B135" s="32" t="s">
        <v>807</v>
      </c>
      <c r="C135" s="32" t="s">
        <v>1854</v>
      </c>
      <c r="D135" s="32" t="s">
        <v>1854</v>
      </c>
      <c r="E135" s="32" t="s">
        <v>1854</v>
      </c>
      <c r="F135" s="32" t="s">
        <v>809</v>
      </c>
      <c r="G135" s="32"/>
      <c r="H135" s="32"/>
      <c r="I135" s="32"/>
      <c r="J135" s="32"/>
      <c r="K135" s="32"/>
      <c r="L135" s="30">
        <v>5539</v>
      </c>
      <c r="M135" s="32" t="s">
        <v>810</v>
      </c>
      <c r="N135" s="5">
        <f>SUM(B135:L136)</f>
        <v>21670</v>
      </c>
      <c r="O135" s="5"/>
    </row>
    <row r="136" spans="1:15">
      <c r="A136" s="30"/>
      <c r="B136" s="30">
        <v>10998</v>
      </c>
      <c r="C136" s="30">
        <v>2551</v>
      </c>
      <c r="D136" s="30">
        <v>360</v>
      </c>
      <c r="E136" s="30">
        <v>202</v>
      </c>
      <c r="F136" s="30">
        <v>2020</v>
      </c>
      <c r="G136" s="30"/>
      <c r="H136" s="33"/>
      <c r="I136" s="33"/>
      <c r="J136" s="33"/>
      <c r="K136" s="33"/>
      <c r="L136" s="30"/>
      <c r="M136" s="33"/>
      <c r="N136" s="5"/>
      <c r="O136" s="5"/>
    </row>
    <row r="137" spans="1: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5"/>
      <c r="O137" s="5"/>
    </row>
    <row r="138" spans="1:15">
      <c r="A138" s="14" t="s">
        <v>93</v>
      </c>
      <c r="B138" s="12" t="s">
        <v>188</v>
      </c>
      <c r="C138" s="12" t="s">
        <v>1855</v>
      </c>
      <c r="D138" s="12" t="s">
        <v>1855</v>
      </c>
      <c r="E138" s="12"/>
      <c r="F138" s="12" t="s">
        <v>188</v>
      </c>
      <c r="G138" s="12"/>
      <c r="H138" s="12"/>
      <c r="I138" s="12"/>
      <c r="J138" s="12"/>
      <c r="K138" s="12"/>
      <c r="L138" s="13">
        <v>4888</v>
      </c>
      <c r="M138" s="12" t="s">
        <v>199</v>
      </c>
      <c r="N138" s="5">
        <f>SUM(B138:L139)</f>
        <v>18233</v>
      </c>
      <c r="O138" s="5"/>
    </row>
    <row r="139" spans="1:15">
      <c r="A139" s="13"/>
      <c r="B139" s="13">
        <v>10067</v>
      </c>
      <c r="C139" s="13">
        <v>2681</v>
      </c>
      <c r="D139" s="13">
        <v>258</v>
      </c>
      <c r="E139" s="13"/>
      <c r="F139" s="13">
        <v>339</v>
      </c>
      <c r="G139" s="13"/>
      <c r="H139" s="13"/>
      <c r="I139" s="13"/>
      <c r="J139" s="13"/>
      <c r="K139" s="13"/>
      <c r="L139" s="13"/>
      <c r="M139" s="14"/>
      <c r="N139" s="5"/>
      <c r="O139" s="5"/>
    </row>
    <row r="140" spans="1: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5"/>
      <c r="O140" s="5"/>
    </row>
    <row r="141" spans="1:15">
      <c r="A141" s="33" t="s">
        <v>97</v>
      </c>
      <c r="B141" s="32" t="s">
        <v>1458</v>
      </c>
      <c r="C141" s="32"/>
      <c r="D141" s="32" t="s">
        <v>1856</v>
      </c>
      <c r="E141" s="32"/>
      <c r="F141" s="32" t="s">
        <v>1458</v>
      </c>
      <c r="G141" s="32"/>
      <c r="H141" s="32"/>
      <c r="I141" s="32"/>
      <c r="J141" s="32"/>
      <c r="K141" s="32"/>
      <c r="L141" s="30">
        <v>12166</v>
      </c>
      <c r="M141" s="32" t="s">
        <v>1658</v>
      </c>
      <c r="N141" s="5">
        <f>SUM(B141:L142)</f>
        <v>22257</v>
      </c>
      <c r="O141" s="5"/>
    </row>
    <row r="142" spans="1:15">
      <c r="A142" s="30"/>
      <c r="B142" s="30">
        <v>8584</v>
      </c>
      <c r="C142" s="30"/>
      <c r="D142" s="30">
        <v>1124</v>
      </c>
      <c r="E142" s="30"/>
      <c r="F142" s="30">
        <v>383</v>
      </c>
      <c r="G142" s="30"/>
      <c r="H142" s="33"/>
      <c r="I142" s="33"/>
      <c r="J142" s="33"/>
      <c r="K142" s="33"/>
      <c r="L142" s="30"/>
      <c r="M142" s="33"/>
      <c r="N142" s="5"/>
      <c r="O142" s="5"/>
    </row>
    <row r="143" spans="1: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5"/>
      <c r="O143" s="5"/>
    </row>
    <row r="144" spans="1:15">
      <c r="A144" s="14" t="s">
        <v>101</v>
      </c>
      <c r="B144" s="12" t="s">
        <v>200</v>
      </c>
      <c r="C144" s="12"/>
      <c r="D144" s="12" t="s">
        <v>1857</v>
      </c>
      <c r="E144" s="12"/>
      <c r="F144" s="12" t="s">
        <v>200</v>
      </c>
      <c r="G144" s="12" t="s">
        <v>200</v>
      </c>
      <c r="H144" s="12"/>
      <c r="I144" s="12"/>
      <c r="J144" s="12"/>
      <c r="K144" s="12"/>
      <c r="L144" s="13">
        <v>7973</v>
      </c>
      <c r="M144" s="12" t="s">
        <v>102</v>
      </c>
      <c r="N144" s="5">
        <f>SUM(B144:L145)</f>
        <v>16215</v>
      </c>
      <c r="O144" s="5"/>
    </row>
    <row r="145" spans="1:15">
      <c r="A145" s="13"/>
      <c r="B145" s="13">
        <v>7247</v>
      </c>
      <c r="C145" s="13"/>
      <c r="D145" s="13">
        <v>561</v>
      </c>
      <c r="E145" s="14"/>
      <c r="F145" s="14">
        <v>231</v>
      </c>
      <c r="G145" s="14">
        <v>203</v>
      </c>
      <c r="H145" s="14"/>
      <c r="I145" s="14"/>
      <c r="J145" s="14"/>
      <c r="K145" s="14"/>
      <c r="L145" s="13"/>
      <c r="M145" s="14"/>
      <c r="N145" s="5"/>
      <c r="O145" s="5"/>
    </row>
    <row r="146" spans="1: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5"/>
      <c r="O146" s="5"/>
    </row>
    <row r="147" spans="1:15">
      <c r="A147" s="33" t="s">
        <v>106</v>
      </c>
      <c r="B147" s="32" t="s">
        <v>107</v>
      </c>
      <c r="C147" s="32" t="s">
        <v>107</v>
      </c>
      <c r="D147" s="32" t="s">
        <v>1858</v>
      </c>
      <c r="E147" s="32"/>
      <c r="F147" s="32"/>
      <c r="G147" s="32"/>
      <c r="H147" s="32"/>
      <c r="I147" s="32"/>
      <c r="J147" s="32"/>
      <c r="K147" s="32"/>
      <c r="L147" s="30">
        <v>4460</v>
      </c>
      <c r="M147" s="32" t="s">
        <v>108</v>
      </c>
      <c r="N147" s="5">
        <f>SUM(B147:L148)</f>
        <v>17367</v>
      </c>
      <c r="O147" s="5"/>
    </row>
    <row r="148" spans="1:15">
      <c r="A148" s="30"/>
      <c r="B148" s="30">
        <v>5762</v>
      </c>
      <c r="C148" s="30">
        <v>6331</v>
      </c>
      <c r="D148" s="30">
        <v>814</v>
      </c>
      <c r="E148" s="33"/>
      <c r="F148" s="33"/>
      <c r="G148" s="33"/>
      <c r="H148" s="33"/>
      <c r="I148" s="33"/>
      <c r="J148" s="33"/>
      <c r="K148" s="33"/>
      <c r="L148" s="30"/>
      <c r="M148" s="33"/>
      <c r="N148" s="5"/>
      <c r="O148" s="5"/>
    </row>
    <row r="149" spans="1: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5"/>
      <c r="O149" s="5"/>
    </row>
    <row r="150" spans="1:15">
      <c r="A150" s="14" t="s">
        <v>112</v>
      </c>
      <c r="B150" s="12" t="s">
        <v>261</v>
      </c>
      <c r="C150" s="12"/>
      <c r="D150" s="12" t="s">
        <v>772</v>
      </c>
      <c r="E150" s="12" t="s">
        <v>1442</v>
      </c>
      <c r="F150" s="12"/>
      <c r="G150" s="12"/>
      <c r="H150" s="12"/>
      <c r="I150" s="12"/>
      <c r="J150" s="12"/>
      <c r="K150" s="12"/>
      <c r="L150" s="13">
        <v>7051</v>
      </c>
      <c r="M150" s="12" t="s">
        <v>262</v>
      </c>
      <c r="N150" s="5">
        <f>SUM(B150:L151)</f>
        <v>15195</v>
      </c>
      <c r="O150" s="5"/>
    </row>
    <row r="151" spans="1:15">
      <c r="A151" s="13"/>
      <c r="B151" s="13">
        <v>6954</v>
      </c>
      <c r="C151" s="13"/>
      <c r="D151" s="13">
        <v>541</v>
      </c>
      <c r="E151" s="14">
        <v>649</v>
      </c>
      <c r="F151" s="14"/>
      <c r="G151" s="14"/>
      <c r="H151" s="14"/>
      <c r="I151" s="14"/>
      <c r="J151" s="14"/>
      <c r="K151" s="14"/>
      <c r="L151" s="13"/>
      <c r="M151" s="14"/>
      <c r="N151" s="5"/>
      <c r="O151" s="5"/>
    </row>
    <row r="152" spans="1: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5"/>
      <c r="O152" s="5"/>
    </row>
    <row r="153" spans="1:15">
      <c r="A153" s="33" t="s">
        <v>116</v>
      </c>
      <c r="B153" s="32" t="s">
        <v>117</v>
      </c>
      <c r="C153" s="32"/>
      <c r="D153" s="32" t="s">
        <v>1859</v>
      </c>
      <c r="E153" s="32"/>
      <c r="F153" s="32"/>
      <c r="G153" s="32"/>
      <c r="H153" s="32"/>
      <c r="I153" s="32"/>
      <c r="J153" s="32"/>
      <c r="K153" s="32"/>
      <c r="L153" s="30">
        <v>6659</v>
      </c>
      <c r="M153" s="32" t="s">
        <v>118</v>
      </c>
      <c r="N153" s="5">
        <f>SUM(B153:L154)</f>
        <v>18245</v>
      </c>
      <c r="O153" s="5"/>
    </row>
    <row r="154" spans="1:15">
      <c r="A154" s="30"/>
      <c r="B154" s="30">
        <v>11216</v>
      </c>
      <c r="C154" s="30"/>
      <c r="D154" s="30">
        <v>370</v>
      </c>
      <c r="E154" s="30"/>
      <c r="F154" s="30"/>
      <c r="G154" s="30"/>
      <c r="H154" s="30"/>
      <c r="I154" s="30"/>
      <c r="J154" s="30"/>
      <c r="K154" s="30"/>
      <c r="L154" s="30"/>
      <c r="M154" s="33"/>
      <c r="N154" s="5"/>
      <c r="O154" s="5"/>
    </row>
    <row r="155" spans="1: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5"/>
      <c r="O155" s="5"/>
    </row>
    <row r="156" spans="1:15">
      <c r="A156" s="14" t="s">
        <v>120</v>
      </c>
      <c r="B156" s="12" t="s">
        <v>121</v>
      </c>
      <c r="C156" s="12" t="s">
        <v>1493</v>
      </c>
      <c r="D156" s="12" t="s">
        <v>1493</v>
      </c>
      <c r="E156" s="12" t="s">
        <v>1134</v>
      </c>
      <c r="F156" s="12" t="s">
        <v>1134</v>
      </c>
      <c r="G156" s="12" t="s">
        <v>1134</v>
      </c>
      <c r="H156" s="12"/>
      <c r="I156" s="12"/>
      <c r="J156" s="12"/>
      <c r="K156" s="15"/>
      <c r="L156" s="13">
        <v>4424</v>
      </c>
      <c r="M156" s="12" t="s">
        <v>122</v>
      </c>
      <c r="N156" s="5">
        <f>SUM(B156:L157)</f>
        <v>12805</v>
      </c>
      <c r="O156" s="5"/>
    </row>
    <row r="157" spans="1:15">
      <c r="A157" s="13"/>
      <c r="B157" s="13">
        <v>5838</v>
      </c>
      <c r="C157" s="13">
        <v>1348</v>
      </c>
      <c r="D157" s="13">
        <v>204</v>
      </c>
      <c r="E157" s="13">
        <v>307</v>
      </c>
      <c r="F157" s="13">
        <v>498</v>
      </c>
      <c r="G157" s="13">
        <v>186</v>
      </c>
      <c r="H157" s="13"/>
      <c r="I157" s="13"/>
      <c r="J157" s="13"/>
      <c r="K157" s="13"/>
      <c r="L157" s="13"/>
      <c r="M157" s="14"/>
      <c r="N157" s="5"/>
      <c r="O157" s="5"/>
    </row>
    <row r="158" spans="1: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5"/>
      <c r="O158" s="5"/>
    </row>
    <row r="159" spans="1:15">
      <c r="A159" s="33" t="s">
        <v>134</v>
      </c>
      <c r="B159" s="32" t="s">
        <v>972</v>
      </c>
      <c r="C159" s="32"/>
      <c r="D159" s="32" t="s">
        <v>1494</v>
      </c>
      <c r="E159" s="32"/>
      <c r="F159" s="32" t="s">
        <v>972</v>
      </c>
      <c r="G159" s="32"/>
      <c r="H159" s="32"/>
      <c r="I159" s="32" t="s">
        <v>1989</v>
      </c>
      <c r="J159" s="32"/>
      <c r="K159" s="32"/>
      <c r="L159" s="30">
        <v>7077</v>
      </c>
      <c r="M159" s="32" t="s">
        <v>974</v>
      </c>
      <c r="N159" s="5">
        <f>SUM(B159:L160)</f>
        <v>32003</v>
      </c>
      <c r="O159" s="5"/>
    </row>
    <row r="160" spans="1:15">
      <c r="A160" s="30"/>
      <c r="B160" s="30">
        <v>18206</v>
      </c>
      <c r="C160" s="30"/>
      <c r="D160" s="30">
        <v>761</v>
      </c>
      <c r="E160" s="30"/>
      <c r="F160" s="30">
        <v>3827</v>
      </c>
      <c r="G160" s="30"/>
      <c r="H160" s="30"/>
      <c r="I160" s="30">
        <v>2132</v>
      </c>
      <c r="J160" s="30"/>
      <c r="K160" s="30"/>
      <c r="L160" s="30"/>
      <c r="M160" s="33"/>
      <c r="N160" s="5"/>
      <c r="O160" s="5"/>
    </row>
    <row r="161" spans="1: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>
      <c r="A162" s="14" t="s">
        <v>139</v>
      </c>
      <c r="B162" s="12" t="s">
        <v>975</v>
      </c>
      <c r="C162" s="12"/>
      <c r="D162" s="12" t="s">
        <v>1860</v>
      </c>
      <c r="E162" s="12"/>
      <c r="F162" s="12"/>
      <c r="G162" s="12" t="s">
        <v>270</v>
      </c>
      <c r="H162" s="12"/>
      <c r="I162" s="12"/>
      <c r="J162" s="12"/>
      <c r="K162" s="12"/>
      <c r="L162" s="13">
        <v>5515</v>
      </c>
      <c r="M162" s="12" t="s">
        <v>977</v>
      </c>
      <c r="N162" s="5"/>
      <c r="O162" s="5"/>
    </row>
    <row r="163" spans="1:15">
      <c r="A163" s="13" t="s">
        <v>978</v>
      </c>
      <c r="B163" s="13">
        <v>9549</v>
      </c>
      <c r="C163" s="13"/>
      <c r="D163" s="13">
        <v>263</v>
      </c>
      <c r="E163" s="13"/>
      <c r="F163" s="13"/>
      <c r="G163" s="13">
        <v>539</v>
      </c>
      <c r="H163" s="14"/>
      <c r="I163" s="14"/>
      <c r="J163" s="14"/>
      <c r="K163" s="14"/>
      <c r="L163" s="13"/>
      <c r="M163" s="14"/>
      <c r="N163" s="5"/>
      <c r="O163" s="5"/>
    </row>
    <row r="164" spans="1: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5"/>
      <c r="O164" s="5"/>
    </row>
    <row r="165" spans="1:15">
      <c r="A165" s="33" t="s">
        <v>142</v>
      </c>
      <c r="B165" s="32" t="s">
        <v>1137</v>
      </c>
      <c r="C165" s="32" t="s">
        <v>224</v>
      </c>
      <c r="D165" s="32" t="s">
        <v>224</v>
      </c>
      <c r="E165" s="32" t="s">
        <v>1138</v>
      </c>
      <c r="F165" s="32" t="s">
        <v>1138</v>
      </c>
      <c r="G165" s="32" t="s">
        <v>1138</v>
      </c>
      <c r="H165" s="32"/>
      <c r="I165" s="32"/>
      <c r="J165" s="32"/>
      <c r="K165" s="32"/>
      <c r="L165" s="30">
        <v>5328</v>
      </c>
      <c r="M165" s="32" t="s">
        <v>1139</v>
      </c>
      <c r="N165" s="5"/>
      <c r="O165" s="5"/>
    </row>
    <row r="166" spans="1:15">
      <c r="A166" s="30"/>
      <c r="B166" s="30">
        <v>7846</v>
      </c>
      <c r="C166" s="30">
        <v>721</v>
      </c>
      <c r="D166" s="30">
        <v>112</v>
      </c>
      <c r="E166" s="30">
        <v>157</v>
      </c>
      <c r="F166" s="30">
        <v>264</v>
      </c>
      <c r="G166" s="30">
        <v>75</v>
      </c>
      <c r="H166" s="33"/>
      <c r="I166" s="33"/>
      <c r="J166" s="33"/>
      <c r="K166" s="33"/>
      <c r="L166" s="30"/>
      <c r="M166" s="33"/>
      <c r="N166" s="5"/>
      <c r="O166" s="5"/>
    </row>
    <row r="167" spans="1: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5"/>
      <c r="O167" s="5"/>
    </row>
    <row r="168" spans="1:15">
      <c r="A168" s="14" t="s">
        <v>145</v>
      </c>
      <c r="B168" s="12" t="s">
        <v>1861</v>
      </c>
      <c r="C168" s="12" t="s">
        <v>1862</v>
      </c>
      <c r="D168" s="12"/>
      <c r="E168" s="12"/>
      <c r="F168" s="12"/>
      <c r="G168" s="12" t="s">
        <v>1863</v>
      </c>
      <c r="H168" s="12"/>
      <c r="I168" s="12"/>
      <c r="J168" s="12"/>
      <c r="K168" s="12"/>
      <c r="L168" s="13">
        <v>5358</v>
      </c>
      <c r="M168" s="12" t="s">
        <v>1864</v>
      </c>
      <c r="N168" s="5"/>
      <c r="O168" s="5"/>
    </row>
    <row r="169" spans="1:15">
      <c r="A169" s="13"/>
      <c r="B169" s="13">
        <v>12025</v>
      </c>
      <c r="C169" s="13">
        <v>856</v>
      </c>
      <c r="D169" s="13"/>
      <c r="E169" s="13"/>
      <c r="F169" s="13"/>
      <c r="G169" s="13">
        <v>114</v>
      </c>
      <c r="H169" s="14"/>
      <c r="I169" s="14"/>
      <c r="J169" s="14"/>
      <c r="K169" s="14"/>
      <c r="L169" s="13"/>
      <c r="M169" s="14"/>
      <c r="N169" s="5"/>
      <c r="O169" s="5"/>
    </row>
    <row r="170" spans="1: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5"/>
      <c r="O170" s="5"/>
    </row>
    <row r="171" spans="1:15">
      <c r="A171" s="33" t="s">
        <v>150</v>
      </c>
      <c r="B171" s="32" t="s">
        <v>825</v>
      </c>
      <c r="C171" s="32"/>
      <c r="D171" s="32"/>
      <c r="E171" s="32" t="s">
        <v>1865</v>
      </c>
      <c r="F171" s="32" t="s">
        <v>825</v>
      </c>
      <c r="G171" s="32"/>
      <c r="H171" s="32"/>
      <c r="I171" s="32"/>
      <c r="J171" s="32"/>
      <c r="K171" s="32"/>
      <c r="L171" s="30">
        <v>6205</v>
      </c>
      <c r="M171" s="32" t="s">
        <v>827</v>
      </c>
      <c r="N171" s="5"/>
      <c r="O171" s="5"/>
    </row>
    <row r="172" spans="1:15">
      <c r="A172" s="30"/>
      <c r="B172" s="30">
        <v>13897</v>
      </c>
      <c r="C172" s="30"/>
      <c r="D172" s="30"/>
      <c r="E172" s="30">
        <v>402</v>
      </c>
      <c r="F172" s="30">
        <v>745</v>
      </c>
      <c r="G172" s="30"/>
      <c r="H172" s="30"/>
      <c r="I172" s="30"/>
      <c r="J172" s="30"/>
      <c r="K172" s="30"/>
      <c r="L172" s="30"/>
      <c r="M172" s="33"/>
      <c r="N172" s="5"/>
      <c r="O172" s="5"/>
    </row>
    <row r="173" spans="1: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5"/>
      <c r="O173" s="5"/>
    </row>
    <row r="174" spans="1:15">
      <c r="A174" s="14" t="s">
        <v>154</v>
      </c>
      <c r="B174" s="12" t="s">
        <v>1670</v>
      </c>
      <c r="C174" s="12" t="s">
        <v>1671</v>
      </c>
      <c r="D174" s="12"/>
      <c r="E174" s="12"/>
      <c r="F174" s="12" t="s">
        <v>585</v>
      </c>
      <c r="G174" s="12"/>
      <c r="H174" s="12"/>
      <c r="I174" s="12"/>
      <c r="J174" s="12"/>
      <c r="K174" s="12"/>
      <c r="L174" s="13">
        <v>6167</v>
      </c>
      <c r="M174" s="12" t="s">
        <v>1672</v>
      </c>
      <c r="N174" s="5"/>
      <c r="O174" s="5"/>
    </row>
    <row r="175" spans="1:15">
      <c r="A175" s="13"/>
      <c r="B175" s="13">
        <v>15862</v>
      </c>
      <c r="C175" s="13">
        <v>700</v>
      </c>
      <c r="D175" s="13"/>
      <c r="E175" s="13"/>
      <c r="F175" s="13">
        <v>2161</v>
      </c>
      <c r="G175" s="13"/>
      <c r="H175" s="13"/>
      <c r="I175" s="13"/>
      <c r="J175" s="13"/>
      <c r="K175" s="13"/>
      <c r="L175" s="13"/>
      <c r="M175" s="13"/>
      <c r="N175" s="5"/>
      <c r="O175" s="5"/>
    </row>
    <row r="176" spans="1: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5"/>
      <c r="O176" s="5"/>
    </row>
    <row r="177" spans="1:15">
      <c r="A177" s="33" t="s">
        <v>158</v>
      </c>
      <c r="B177" s="32" t="s">
        <v>159</v>
      </c>
      <c r="C177" s="32"/>
      <c r="D177" s="32" t="s">
        <v>1498</v>
      </c>
      <c r="E177" s="32"/>
      <c r="F177" s="32" t="s">
        <v>504</v>
      </c>
      <c r="G177" s="32"/>
      <c r="H177" s="32"/>
      <c r="I177" s="32"/>
      <c r="J177" s="32"/>
      <c r="K177" s="32"/>
      <c r="L177" s="30">
        <v>7199</v>
      </c>
      <c r="M177" s="32" t="s">
        <v>160</v>
      </c>
      <c r="N177" s="5"/>
      <c r="O177" s="5"/>
    </row>
    <row r="178" spans="1:15">
      <c r="A178" s="30"/>
      <c r="B178" s="30">
        <v>13955</v>
      </c>
      <c r="C178" s="30"/>
      <c r="D178" s="30">
        <v>142</v>
      </c>
      <c r="E178" s="30"/>
      <c r="F178" s="30">
        <v>775</v>
      </c>
      <c r="G178" s="30"/>
      <c r="H178" s="30"/>
      <c r="I178" s="30"/>
      <c r="J178" s="30"/>
      <c r="K178" s="30"/>
      <c r="L178" s="30"/>
      <c r="M178" s="33"/>
      <c r="N178" s="5"/>
      <c r="O178" s="5"/>
    </row>
    <row r="179" spans="1: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5"/>
      <c r="O179" s="5"/>
    </row>
    <row r="180" spans="1:15">
      <c r="A180" s="14" t="s">
        <v>166</v>
      </c>
      <c r="B180" s="12" t="s">
        <v>1674</v>
      </c>
      <c r="C180" s="12" t="s">
        <v>1866</v>
      </c>
      <c r="D180" s="12" t="s">
        <v>1866</v>
      </c>
      <c r="E180" s="12" t="s">
        <v>1674</v>
      </c>
      <c r="F180" s="12"/>
      <c r="G180" s="12"/>
      <c r="H180" s="12"/>
      <c r="I180" s="12"/>
      <c r="J180" s="12"/>
      <c r="K180" s="12"/>
      <c r="L180" s="13">
        <v>6456</v>
      </c>
      <c r="M180" s="12" t="s">
        <v>1676</v>
      </c>
      <c r="N180" s="5"/>
      <c r="O180" s="5"/>
    </row>
    <row r="181" spans="1:15">
      <c r="A181" s="13"/>
      <c r="B181" s="13">
        <v>11878</v>
      </c>
      <c r="C181" s="13">
        <v>3701</v>
      </c>
      <c r="D181" s="13">
        <v>520</v>
      </c>
      <c r="E181" s="13">
        <v>436</v>
      </c>
      <c r="F181" s="13"/>
      <c r="G181" s="13"/>
      <c r="H181" s="13"/>
      <c r="I181" s="13"/>
      <c r="J181" s="13"/>
      <c r="K181" s="13"/>
      <c r="L181" s="13"/>
      <c r="M181" s="14"/>
      <c r="N181" s="5"/>
      <c r="O181" s="5"/>
    </row>
    <row r="182" spans="1: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5"/>
      <c r="O182" s="5"/>
    </row>
    <row r="183" spans="1:15">
      <c r="A183" s="33" t="s">
        <v>170</v>
      </c>
      <c r="B183" s="32" t="s">
        <v>1182</v>
      </c>
      <c r="C183" s="32" t="s">
        <v>1678</v>
      </c>
      <c r="D183" s="32" t="s">
        <v>1678</v>
      </c>
      <c r="E183" s="32" t="s">
        <v>1678</v>
      </c>
      <c r="F183" s="32" t="s">
        <v>1182</v>
      </c>
      <c r="G183" s="32"/>
      <c r="H183" s="32" t="s">
        <v>1678</v>
      </c>
      <c r="I183" s="32"/>
      <c r="J183" s="32"/>
      <c r="K183" s="32"/>
      <c r="L183" s="30">
        <v>5418</v>
      </c>
      <c r="M183" s="29" t="s">
        <v>1679</v>
      </c>
      <c r="N183" s="5"/>
      <c r="O183" s="5"/>
    </row>
    <row r="184" spans="1:15">
      <c r="A184" s="30"/>
      <c r="B184" s="30">
        <v>6717</v>
      </c>
      <c r="C184" s="30">
        <v>10864</v>
      </c>
      <c r="D184" s="30">
        <v>1437</v>
      </c>
      <c r="E184" s="30">
        <v>399</v>
      </c>
      <c r="F184" s="30">
        <v>367</v>
      </c>
      <c r="G184" s="30"/>
      <c r="H184" s="30">
        <v>485</v>
      </c>
      <c r="I184" s="30"/>
      <c r="J184" s="30"/>
      <c r="K184" s="30"/>
      <c r="L184" s="30"/>
      <c r="M184" s="30"/>
      <c r="N184" s="5"/>
      <c r="O184" s="5"/>
    </row>
    <row r="185" spans="1: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5" t="s">
        <v>5</v>
      </c>
      <c r="B186" s="10" t="s">
        <v>1867</v>
      </c>
      <c r="C186" s="10" t="s">
        <v>1868</v>
      </c>
      <c r="D186" s="10" t="s">
        <v>1868</v>
      </c>
      <c r="E186" s="5"/>
      <c r="F186" s="10" t="s">
        <v>1867</v>
      </c>
      <c r="G186" s="5"/>
      <c r="H186" s="10"/>
      <c r="I186" s="10"/>
      <c r="J186" s="10"/>
      <c r="K186" s="10"/>
      <c r="L186" s="13">
        <v>4893</v>
      </c>
      <c r="M186" s="10" t="s">
        <v>1869</v>
      </c>
      <c r="N186" s="5"/>
      <c r="O186" s="5"/>
    </row>
    <row r="187" spans="1:15">
      <c r="A187" s="5"/>
      <c r="B187" s="13">
        <v>10773</v>
      </c>
      <c r="C187" s="13">
        <v>6211</v>
      </c>
      <c r="D187" s="13">
        <v>1214</v>
      </c>
      <c r="E187" s="13"/>
      <c r="F187" s="13">
        <v>593</v>
      </c>
      <c r="G187" s="13"/>
      <c r="H187" s="13"/>
      <c r="I187" s="13"/>
      <c r="J187" s="13"/>
      <c r="K187" s="13"/>
      <c r="L187" s="5"/>
      <c r="M187" s="5"/>
      <c r="N187" s="5"/>
      <c r="O187" s="5"/>
    </row>
    <row r="188" spans="1: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>
      <c r="A189" s="33" t="s">
        <v>8</v>
      </c>
      <c r="B189" s="32" t="s">
        <v>1506</v>
      </c>
      <c r="C189" s="32" t="s">
        <v>1870</v>
      </c>
      <c r="D189" s="32" t="s">
        <v>1506</v>
      </c>
      <c r="E189" s="32" t="s">
        <v>1683</v>
      </c>
      <c r="F189" s="32" t="s">
        <v>1683</v>
      </c>
      <c r="G189" s="32"/>
      <c r="H189" s="32" t="s">
        <v>1506</v>
      </c>
      <c r="I189" s="32"/>
      <c r="J189" s="32"/>
      <c r="K189" s="32"/>
      <c r="L189" s="30">
        <v>2561</v>
      </c>
      <c r="M189" s="32" t="s">
        <v>1871</v>
      </c>
      <c r="N189" s="5"/>
      <c r="O189" s="5"/>
    </row>
    <row r="190" spans="1:15">
      <c r="A190" s="30"/>
      <c r="B190" s="30">
        <v>5818</v>
      </c>
      <c r="C190" s="30">
        <v>13906</v>
      </c>
      <c r="D190" s="30">
        <v>2034</v>
      </c>
      <c r="E190" s="30">
        <v>671</v>
      </c>
      <c r="F190" s="30">
        <v>286</v>
      </c>
      <c r="G190" s="30"/>
      <c r="H190" s="30">
        <v>516</v>
      </c>
      <c r="I190" s="30"/>
      <c r="J190" s="30"/>
      <c r="K190" s="30"/>
      <c r="L190" s="30"/>
      <c r="M190" s="33"/>
      <c r="N190" s="5"/>
      <c r="O190" s="5"/>
    </row>
    <row r="191" spans="1: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5"/>
      <c r="O191" s="5"/>
    </row>
    <row r="192" spans="1:15">
      <c r="A192" s="14" t="s">
        <v>14</v>
      </c>
      <c r="B192" s="12" t="s">
        <v>225</v>
      </c>
      <c r="C192" s="12" t="s">
        <v>1872</v>
      </c>
      <c r="D192" s="12" t="s">
        <v>225</v>
      </c>
      <c r="E192" s="12" t="s">
        <v>225</v>
      </c>
      <c r="F192" s="12" t="s">
        <v>225</v>
      </c>
      <c r="G192" s="12" t="s">
        <v>1873</v>
      </c>
      <c r="H192" s="12" t="s">
        <v>1872</v>
      </c>
      <c r="I192" s="12"/>
      <c r="J192" s="12"/>
      <c r="K192" s="12"/>
      <c r="L192" s="13">
        <v>3227</v>
      </c>
      <c r="M192" s="12" t="s">
        <v>226</v>
      </c>
      <c r="N192" s="5"/>
      <c r="O192" s="5"/>
    </row>
    <row r="193" spans="1:15">
      <c r="A193" s="13"/>
      <c r="B193" s="13">
        <v>9431</v>
      </c>
      <c r="C193" s="13">
        <v>8537</v>
      </c>
      <c r="D193" s="13">
        <v>936</v>
      </c>
      <c r="E193" s="13">
        <v>417</v>
      </c>
      <c r="F193" s="13">
        <v>331</v>
      </c>
      <c r="G193" s="13">
        <v>149</v>
      </c>
      <c r="H193" s="13">
        <v>374</v>
      </c>
      <c r="I193" s="13"/>
      <c r="J193" s="13"/>
      <c r="K193" s="13"/>
      <c r="L193" s="13"/>
      <c r="M193" s="14"/>
      <c r="N193" s="5"/>
      <c r="O193" s="5"/>
    </row>
    <row r="194" spans="1: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5"/>
      <c r="O194" s="5"/>
    </row>
    <row r="195" spans="1:15">
      <c r="A195" s="33" t="s">
        <v>23</v>
      </c>
      <c r="B195" s="32" t="s">
        <v>834</v>
      </c>
      <c r="C195" s="32"/>
      <c r="D195" s="32"/>
      <c r="E195" s="32"/>
      <c r="F195" s="32" t="s">
        <v>834</v>
      </c>
      <c r="G195" s="32" t="s">
        <v>834</v>
      </c>
      <c r="H195" s="32"/>
      <c r="I195" s="32" t="s">
        <v>1990</v>
      </c>
      <c r="J195" s="32"/>
      <c r="K195" s="32"/>
      <c r="L195" s="30">
        <v>7502</v>
      </c>
      <c r="M195" s="32" t="s">
        <v>836</v>
      </c>
      <c r="N195" s="5"/>
      <c r="O195" s="5"/>
    </row>
    <row r="196" spans="1:15">
      <c r="A196" s="30"/>
      <c r="B196" s="30">
        <v>11857</v>
      </c>
      <c r="C196" s="30"/>
      <c r="D196" s="30"/>
      <c r="E196" s="30"/>
      <c r="F196" s="30">
        <v>1119</v>
      </c>
      <c r="G196" s="30">
        <v>399</v>
      </c>
      <c r="H196" s="33"/>
      <c r="I196" s="33">
        <v>1040</v>
      </c>
      <c r="J196" s="33"/>
      <c r="K196" s="33"/>
      <c r="L196" s="30"/>
      <c r="M196" s="33"/>
      <c r="N196" s="5"/>
      <c r="O196" s="5"/>
    </row>
    <row r="197" spans="1: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5"/>
      <c r="O197" s="5"/>
    </row>
    <row r="198" spans="1:15">
      <c r="A198" s="14" t="s">
        <v>29</v>
      </c>
      <c r="B198" s="12" t="s">
        <v>1511</v>
      </c>
      <c r="C198" s="12" t="s">
        <v>952</v>
      </c>
      <c r="D198" s="12"/>
      <c r="E198" s="12" t="s">
        <v>952</v>
      </c>
      <c r="F198" s="12" t="s">
        <v>1606</v>
      </c>
      <c r="G198" s="12" t="s">
        <v>952</v>
      </c>
      <c r="H198" s="12"/>
      <c r="I198" s="12" t="s">
        <v>1991</v>
      </c>
      <c r="J198" s="12"/>
      <c r="K198" s="12"/>
      <c r="L198" s="13">
        <v>5874</v>
      </c>
      <c r="M198" s="12" t="s">
        <v>1513</v>
      </c>
      <c r="N198" s="5"/>
      <c r="O198" s="5"/>
    </row>
    <row r="199" spans="1:15">
      <c r="A199" s="13"/>
      <c r="B199" s="13">
        <v>17925</v>
      </c>
      <c r="C199" s="13">
        <v>8241</v>
      </c>
      <c r="D199" s="13"/>
      <c r="E199" s="13">
        <v>484</v>
      </c>
      <c r="F199" s="13">
        <v>675</v>
      </c>
      <c r="G199" s="13">
        <v>296</v>
      </c>
      <c r="H199" s="13"/>
      <c r="I199" s="13">
        <v>377</v>
      </c>
      <c r="J199" s="13"/>
      <c r="K199" s="13"/>
      <c r="L199" s="13"/>
      <c r="M199" s="14"/>
      <c r="N199" s="5"/>
      <c r="O199" s="5"/>
    </row>
    <row r="200" spans="1: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5"/>
      <c r="O200" s="5"/>
    </row>
    <row r="201" spans="1:15">
      <c r="A201" s="33" t="s">
        <v>36</v>
      </c>
      <c r="B201" s="32" t="s">
        <v>37</v>
      </c>
      <c r="C201" s="32" t="s">
        <v>1874</v>
      </c>
      <c r="D201" s="32"/>
      <c r="E201" s="32"/>
      <c r="F201" s="32" t="s">
        <v>511</v>
      </c>
      <c r="G201" s="32"/>
      <c r="H201" s="32"/>
      <c r="I201" s="32"/>
      <c r="J201" s="32" t="s">
        <v>1874</v>
      </c>
      <c r="K201" s="32"/>
      <c r="L201" s="30">
        <v>4425</v>
      </c>
      <c r="M201" s="32" t="s">
        <v>38</v>
      </c>
      <c r="N201" s="5"/>
      <c r="O201" s="5"/>
    </row>
    <row r="202" spans="1:15">
      <c r="A202" s="30"/>
      <c r="B202" s="30">
        <v>23353</v>
      </c>
      <c r="C202" s="30">
        <v>3973</v>
      </c>
      <c r="D202" s="30"/>
      <c r="E202" s="30"/>
      <c r="F202" s="30">
        <v>3074</v>
      </c>
      <c r="G202" s="30"/>
      <c r="H202" s="33"/>
      <c r="I202" s="33"/>
      <c r="J202" s="33">
        <v>338</v>
      </c>
      <c r="K202" s="33"/>
      <c r="L202" s="30"/>
      <c r="M202" s="30"/>
      <c r="N202" s="5"/>
      <c r="O202" s="5"/>
    </row>
    <row r="203" spans="1: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5"/>
      <c r="O203" s="5"/>
    </row>
    <row r="204" spans="1:15">
      <c r="A204" s="14" t="s">
        <v>46</v>
      </c>
      <c r="B204" s="12" t="s">
        <v>1686</v>
      </c>
      <c r="C204" s="12" t="s">
        <v>1875</v>
      </c>
      <c r="D204" s="12" t="s">
        <v>1875</v>
      </c>
      <c r="E204" s="12"/>
      <c r="F204" s="12" t="s">
        <v>1802</v>
      </c>
      <c r="G204" s="12" t="s">
        <v>1802</v>
      </c>
      <c r="H204" s="12"/>
      <c r="I204" s="12" t="s">
        <v>1992</v>
      </c>
      <c r="J204" s="12"/>
      <c r="K204" s="12"/>
      <c r="L204" s="13">
        <v>5336</v>
      </c>
      <c r="M204" s="12" t="s">
        <v>1688</v>
      </c>
      <c r="N204" s="5"/>
      <c r="O204" s="5"/>
    </row>
    <row r="205" spans="1:15">
      <c r="A205" s="13"/>
      <c r="B205" s="13">
        <v>25452</v>
      </c>
      <c r="C205" s="13">
        <v>4852</v>
      </c>
      <c r="D205" s="13">
        <v>221</v>
      </c>
      <c r="E205" s="13"/>
      <c r="F205" s="13">
        <v>2223</v>
      </c>
      <c r="G205" s="13">
        <v>738</v>
      </c>
      <c r="H205" s="14"/>
      <c r="I205" s="14">
        <v>582</v>
      </c>
      <c r="J205" s="14"/>
      <c r="K205" s="14"/>
      <c r="L205" s="13"/>
      <c r="M205" s="14"/>
      <c r="N205" s="5"/>
      <c r="O205" s="5"/>
    </row>
    <row r="206" spans="1: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5"/>
      <c r="O206" s="5"/>
    </row>
    <row r="207" spans="1:15">
      <c r="A207" s="33" t="s">
        <v>51</v>
      </c>
      <c r="B207" s="29" t="s">
        <v>1516</v>
      </c>
      <c r="C207" s="29" t="s">
        <v>415</v>
      </c>
      <c r="D207" s="29"/>
      <c r="E207" s="29" t="s">
        <v>415</v>
      </c>
      <c r="F207" s="29" t="s">
        <v>1516</v>
      </c>
      <c r="G207" s="29" t="s">
        <v>1516</v>
      </c>
      <c r="H207" s="29"/>
      <c r="I207" s="29" t="s">
        <v>1993</v>
      </c>
      <c r="J207" s="29"/>
      <c r="K207" s="29"/>
      <c r="L207" s="30">
        <v>7768</v>
      </c>
      <c r="M207" s="29" t="s">
        <v>1518</v>
      </c>
      <c r="N207" s="5"/>
      <c r="O207" s="5"/>
    </row>
    <row r="208" spans="1:15">
      <c r="A208" s="30"/>
      <c r="B208" s="30">
        <v>12191</v>
      </c>
      <c r="C208" s="30">
        <v>1566</v>
      </c>
      <c r="D208" s="30"/>
      <c r="E208" s="30">
        <v>275</v>
      </c>
      <c r="F208" s="30">
        <v>601</v>
      </c>
      <c r="G208" s="30">
        <v>228</v>
      </c>
      <c r="H208" s="30"/>
      <c r="I208" s="30">
        <v>220</v>
      </c>
      <c r="J208" s="30"/>
      <c r="K208" s="30"/>
      <c r="L208" s="30"/>
      <c r="M208" s="30"/>
      <c r="N208" s="5"/>
      <c r="O208" s="5"/>
    </row>
    <row r="209" spans="1: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5"/>
      <c r="O209" s="5"/>
    </row>
    <row r="210" spans="1:15">
      <c r="A210" s="14" t="s">
        <v>58</v>
      </c>
      <c r="B210" s="12" t="s">
        <v>227</v>
      </c>
      <c r="C210" s="12" t="s">
        <v>1876</v>
      </c>
      <c r="D210" s="12"/>
      <c r="E210" s="12" t="s">
        <v>428</v>
      </c>
      <c r="F210" s="12" t="s">
        <v>227</v>
      </c>
      <c r="G210" s="12"/>
      <c r="H210" s="12"/>
      <c r="I210" s="12" t="s">
        <v>1994</v>
      </c>
      <c r="J210" s="12"/>
      <c r="K210" s="15"/>
      <c r="L210" s="13">
        <v>9514</v>
      </c>
      <c r="M210" s="12" t="s">
        <v>228</v>
      </c>
      <c r="N210" s="5"/>
      <c r="O210" s="5"/>
    </row>
    <row r="211" spans="1:15">
      <c r="A211" s="13"/>
      <c r="B211" s="13">
        <v>18995</v>
      </c>
      <c r="C211" s="13">
        <v>2381</v>
      </c>
      <c r="D211" s="13"/>
      <c r="E211" s="13">
        <v>1244</v>
      </c>
      <c r="F211" s="13">
        <v>3084</v>
      </c>
      <c r="G211" s="13"/>
      <c r="H211" s="13"/>
      <c r="I211" s="13">
        <v>773</v>
      </c>
      <c r="J211" s="13"/>
      <c r="K211" s="13"/>
      <c r="L211" s="13"/>
      <c r="M211" s="14"/>
      <c r="N211" s="5"/>
      <c r="O211" s="5"/>
    </row>
    <row r="212" spans="1: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5"/>
      <c r="O212" s="5"/>
    </row>
    <row r="213" spans="1:15">
      <c r="A213" s="33" t="s">
        <v>62</v>
      </c>
      <c r="B213" s="32" t="s">
        <v>839</v>
      </c>
      <c r="C213" s="32" t="s">
        <v>607</v>
      </c>
      <c r="D213" s="32" t="s">
        <v>607</v>
      </c>
      <c r="E213" s="32" t="s">
        <v>607</v>
      </c>
      <c r="F213" s="32" t="s">
        <v>312</v>
      </c>
      <c r="G213" s="32" t="s">
        <v>312</v>
      </c>
      <c r="H213" s="32"/>
      <c r="I213" s="32"/>
      <c r="J213" s="32"/>
      <c r="K213" s="32"/>
      <c r="L213" s="30">
        <v>7692</v>
      </c>
      <c r="M213" s="32" t="s">
        <v>841</v>
      </c>
      <c r="N213" s="5"/>
      <c r="O213" s="5"/>
    </row>
    <row r="214" spans="1:15">
      <c r="A214" s="30"/>
      <c r="B214" s="30">
        <v>15345</v>
      </c>
      <c r="C214" s="30">
        <v>708</v>
      </c>
      <c r="D214" s="30">
        <v>83</v>
      </c>
      <c r="E214" s="30">
        <v>309</v>
      </c>
      <c r="F214" s="30">
        <v>739</v>
      </c>
      <c r="G214" s="30">
        <v>177</v>
      </c>
      <c r="H214" s="33"/>
      <c r="I214" s="33"/>
      <c r="J214" s="33"/>
      <c r="K214" s="33"/>
      <c r="L214" s="30"/>
      <c r="M214" s="33"/>
      <c r="N214" s="5"/>
      <c r="O214" s="5"/>
    </row>
    <row r="215" spans="1: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5"/>
      <c r="O215" s="5"/>
    </row>
    <row r="216" spans="1:15">
      <c r="A216" s="14" t="s">
        <v>67</v>
      </c>
      <c r="B216" s="12" t="s">
        <v>68</v>
      </c>
      <c r="C216" s="12" t="s">
        <v>1690</v>
      </c>
      <c r="D216" s="12" t="s">
        <v>1690</v>
      </c>
      <c r="E216" s="12" t="s">
        <v>1690</v>
      </c>
      <c r="F216" s="12"/>
      <c r="G216" s="12"/>
      <c r="H216" s="12"/>
      <c r="I216" s="12"/>
      <c r="J216" s="12"/>
      <c r="K216" s="12"/>
      <c r="L216" s="13">
        <v>9061</v>
      </c>
      <c r="M216" s="12" t="s">
        <v>69</v>
      </c>
      <c r="N216" s="5"/>
      <c r="O216" s="5"/>
    </row>
    <row r="217" spans="1:15">
      <c r="A217" s="13"/>
      <c r="B217" s="13">
        <v>14139</v>
      </c>
      <c r="C217" s="13">
        <v>1608</v>
      </c>
      <c r="D217" s="13">
        <v>119</v>
      </c>
      <c r="E217" s="13">
        <v>282</v>
      </c>
      <c r="F217" s="13"/>
      <c r="G217" s="13"/>
      <c r="H217" s="13"/>
      <c r="I217" s="13"/>
      <c r="J217" s="13"/>
      <c r="K217" s="13"/>
      <c r="L217" s="13"/>
      <c r="M217" s="14"/>
      <c r="N217" s="5"/>
      <c r="O217" s="5"/>
    </row>
    <row r="218" spans="1: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5"/>
      <c r="O218" s="5"/>
    </row>
    <row r="219" spans="1:15">
      <c r="A219" s="33" t="s">
        <v>72</v>
      </c>
      <c r="B219" s="32" t="s">
        <v>1349</v>
      </c>
      <c r="C219" s="32" t="s">
        <v>1877</v>
      </c>
      <c r="D219" s="32"/>
      <c r="E219" s="32" t="s">
        <v>690</v>
      </c>
      <c r="F219" s="32" t="s">
        <v>1878</v>
      </c>
      <c r="G219" s="32" t="s">
        <v>1878</v>
      </c>
      <c r="H219" s="31"/>
      <c r="I219" s="31"/>
      <c r="J219" s="31"/>
      <c r="K219" s="29" t="s">
        <v>1879</v>
      </c>
      <c r="L219" s="30">
        <v>6765</v>
      </c>
      <c r="M219" s="32" t="s">
        <v>1350</v>
      </c>
      <c r="N219" s="5"/>
      <c r="O219" s="5"/>
    </row>
    <row r="220" spans="1:15">
      <c r="A220" s="30"/>
      <c r="B220" s="30">
        <v>8129</v>
      </c>
      <c r="C220" s="30">
        <v>1240</v>
      </c>
      <c r="D220" s="30"/>
      <c r="E220" s="30">
        <v>233</v>
      </c>
      <c r="F220" s="30">
        <v>379</v>
      </c>
      <c r="G220" s="30">
        <v>312</v>
      </c>
      <c r="H220" s="30"/>
      <c r="I220" s="30"/>
      <c r="J220" s="30"/>
      <c r="K220" s="30">
        <v>80</v>
      </c>
      <c r="L220" s="30"/>
      <c r="M220" s="33"/>
      <c r="N220" s="5"/>
      <c r="O220" s="5"/>
    </row>
    <row r="221" spans="1: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5"/>
      <c r="O221" s="5"/>
    </row>
    <row r="222" spans="1:15">
      <c r="A222" s="14" t="s">
        <v>79</v>
      </c>
      <c r="B222" s="12" t="s">
        <v>1158</v>
      </c>
      <c r="C222" s="12" t="s">
        <v>1880</v>
      </c>
      <c r="D222" s="12"/>
      <c r="E222" s="12" t="s">
        <v>1880</v>
      </c>
      <c r="F222" s="12" t="s">
        <v>1995</v>
      </c>
      <c r="G222" s="12" t="s">
        <v>1880</v>
      </c>
      <c r="H222" s="12"/>
      <c r="I222" s="12"/>
      <c r="J222" s="12"/>
      <c r="K222" s="12"/>
      <c r="L222" s="13">
        <v>7775</v>
      </c>
      <c r="M222" s="12" t="s">
        <v>1161</v>
      </c>
      <c r="N222" s="5"/>
      <c r="O222" s="5"/>
    </row>
    <row r="223" spans="1:15">
      <c r="A223" s="13"/>
      <c r="B223" s="13">
        <v>15949</v>
      </c>
      <c r="C223" s="13">
        <v>13514</v>
      </c>
      <c r="D223" s="13"/>
      <c r="E223" s="13">
        <v>1134</v>
      </c>
      <c r="F223" s="13">
        <v>331</v>
      </c>
      <c r="G223" s="13">
        <v>573</v>
      </c>
      <c r="H223" s="13"/>
      <c r="I223" s="13"/>
      <c r="J223" s="13"/>
      <c r="K223" s="13"/>
      <c r="L223" s="13"/>
      <c r="M223" s="14"/>
      <c r="N223" s="5"/>
      <c r="O223" s="5"/>
    </row>
    <row r="224" spans="1: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5"/>
      <c r="O224" s="5"/>
    </row>
    <row r="225" spans="1:15">
      <c r="A225" s="33" t="s">
        <v>87</v>
      </c>
      <c r="B225" s="32" t="s">
        <v>1694</v>
      </c>
      <c r="C225" s="32" t="s">
        <v>1881</v>
      </c>
      <c r="D225" s="32"/>
      <c r="E225" s="32" t="s">
        <v>1881</v>
      </c>
      <c r="F225" s="32" t="s">
        <v>1694</v>
      </c>
      <c r="G225" s="32" t="s">
        <v>1694</v>
      </c>
      <c r="H225" s="32"/>
      <c r="I225" s="32" t="s">
        <v>1996</v>
      </c>
      <c r="J225" s="32"/>
      <c r="K225" s="29"/>
      <c r="L225" s="30">
        <v>6166</v>
      </c>
      <c r="M225" s="32" t="s">
        <v>1696</v>
      </c>
      <c r="N225" s="5"/>
      <c r="O225" s="5"/>
    </row>
    <row r="226" spans="1:15">
      <c r="A226" s="30"/>
      <c r="B226" s="30">
        <v>18140</v>
      </c>
      <c r="C226" s="30">
        <v>4461</v>
      </c>
      <c r="D226" s="30"/>
      <c r="E226" s="30">
        <v>848</v>
      </c>
      <c r="F226" s="30">
        <v>1778</v>
      </c>
      <c r="G226" s="30">
        <v>529</v>
      </c>
      <c r="H226" s="30"/>
      <c r="I226" s="30">
        <v>1054</v>
      </c>
      <c r="J226" s="30"/>
      <c r="K226" s="30"/>
      <c r="L226" s="30"/>
      <c r="M226" s="30"/>
      <c r="N226" s="5"/>
      <c r="O226" s="5"/>
    </row>
    <row r="227" spans="1: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5"/>
      <c r="O227" s="5"/>
    </row>
    <row r="228" spans="1:15">
      <c r="A228" s="14" t="s">
        <v>92</v>
      </c>
      <c r="B228" s="12" t="s">
        <v>201</v>
      </c>
      <c r="C228" s="12" t="s">
        <v>1882</v>
      </c>
      <c r="D228" s="12" t="s">
        <v>1882</v>
      </c>
      <c r="E228" s="12" t="s">
        <v>1882</v>
      </c>
      <c r="F228" s="12" t="s">
        <v>201</v>
      </c>
      <c r="G228" s="12" t="s">
        <v>201</v>
      </c>
      <c r="H228" s="12"/>
      <c r="I228" s="12" t="s">
        <v>1997</v>
      </c>
      <c r="J228" s="12"/>
      <c r="K228" s="12"/>
      <c r="L228" s="13">
        <v>6772</v>
      </c>
      <c r="M228" s="12" t="s">
        <v>24</v>
      </c>
      <c r="N228" s="5"/>
      <c r="O228" s="5"/>
    </row>
    <row r="229" spans="1:15">
      <c r="A229" s="13"/>
      <c r="B229" s="13">
        <v>18176</v>
      </c>
      <c r="C229" s="13">
        <v>4939</v>
      </c>
      <c r="D229" s="13">
        <v>185</v>
      </c>
      <c r="E229" s="13">
        <v>323</v>
      </c>
      <c r="F229" s="13">
        <v>1712</v>
      </c>
      <c r="G229" s="13">
        <v>646</v>
      </c>
      <c r="H229" s="14"/>
      <c r="I229" s="14">
        <v>627</v>
      </c>
      <c r="J229" s="14"/>
      <c r="K229" s="12"/>
      <c r="L229" s="13"/>
      <c r="M229" s="13"/>
      <c r="N229" s="5"/>
      <c r="O229" s="5"/>
    </row>
    <row r="230" spans="1: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5"/>
      <c r="O230" s="5"/>
    </row>
    <row r="231" spans="1:15">
      <c r="A231" s="33" t="s">
        <v>95</v>
      </c>
      <c r="B231" s="32" t="s">
        <v>1163</v>
      </c>
      <c r="C231" s="32"/>
      <c r="D231" s="32" t="s">
        <v>1351</v>
      </c>
      <c r="E231" s="32"/>
      <c r="F231" s="32"/>
      <c r="G231" s="32"/>
      <c r="H231" s="32"/>
      <c r="I231" s="32"/>
      <c r="J231" s="32"/>
      <c r="K231" s="32"/>
      <c r="L231" s="30">
        <v>8532</v>
      </c>
      <c r="M231" s="32" t="s">
        <v>1164</v>
      </c>
      <c r="N231" s="5"/>
      <c r="O231" s="5"/>
    </row>
    <row r="232" spans="1:15">
      <c r="A232" s="30"/>
      <c r="B232" s="29">
        <v>9740</v>
      </c>
      <c r="C232" s="29"/>
      <c r="D232" s="29">
        <v>463</v>
      </c>
      <c r="E232" s="29"/>
      <c r="F232" s="29"/>
      <c r="G232" s="29"/>
      <c r="H232" s="30"/>
      <c r="I232" s="30"/>
      <c r="J232" s="30"/>
      <c r="K232" s="30"/>
      <c r="L232" s="30"/>
      <c r="M232" s="33"/>
      <c r="N232" s="5"/>
      <c r="O232" s="5"/>
    </row>
    <row r="233" spans="1: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5"/>
      <c r="O233" s="5"/>
    </row>
    <row r="234" spans="1:15">
      <c r="A234" s="14" t="s">
        <v>98</v>
      </c>
      <c r="B234" s="12" t="s">
        <v>1352</v>
      </c>
      <c r="C234" s="15" t="s">
        <v>1883</v>
      </c>
      <c r="D234" s="12" t="s">
        <v>352</v>
      </c>
      <c r="E234" s="12"/>
      <c r="F234" s="12" t="s">
        <v>1444</v>
      </c>
      <c r="G234" s="12"/>
      <c r="H234" s="12"/>
      <c r="I234" s="12"/>
      <c r="J234" s="12"/>
      <c r="K234" s="12"/>
      <c r="L234" s="13">
        <v>4905</v>
      </c>
      <c r="M234" s="12" t="s">
        <v>1354</v>
      </c>
      <c r="N234" s="5"/>
      <c r="O234" s="5"/>
    </row>
    <row r="235" spans="1:15">
      <c r="A235" s="13"/>
      <c r="B235" s="15">
        <v>8891</v>
      </c>
      <c r="C235" s="15">
        <v>598</v>
      </c>
      <c r="D235" s="15">
        <v>63</v>
      </c>
      <c r="E235" s="13"/>
      <c r="F235" s="13">
        <v>230</v>
      </c>
      <c r="G235" s="13"/>
      <c r="H235" s="14"/>
      <c r="I235" s="14"/>
      <c r="J235" s="14"/>
      <c r="K235" s="14"/>
      <c r="L235" s="13"/>
      <c r="M235" s="14"/>
      <c r="N235" s="5"/>
      <c r="O235" s="5"/>
    </row>
    <row r="236" spans="1: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5"/>
      <c r="O236" s="5"/>
    </row>
    <row r="237" spans="1:15">
      <c r="A237" s="33" t="s">
        <v>103</v>
      </c>
      <c r="B237" s="32" t="s">
        <v>203</v>
      </c>
      <c r="C237" s="32" t="s">
        <v>528</v>
      </c>
      <c r="D237" s="32" t="s">
        <v>528</v>
      </c>
      <c r="E237" s="32" t="s">
        <v>528</v>
      </c>
      <c r="F237" s="32"/>
      <c r="G237" s="32" t="s">
        <v>203</v>
      </c>
      <c r="H237" s="32"/>
      <c r="I237" s="32"/>
      <c r="J237" s="32"/>
      <c r="K237" s="32"/>
      <c r="L237" s="30">
        <v>3883</v>
      </c>
      <c r="M237" s="32" t="s">
        <v>202</v>
      </c>
      <c r="N237" s="5"/>
      <c r="O237" s="5"/>
    </row>
    <row r="238" spans="1:15">
      <c r="A238" s="30"/>
      <c r="B238" s="29">
        <v>6893</v>
      </c>
      <c r="C238" s="29">
        <v>1060</v>
      </c>
      <c r="D238" s="29">
        <v>129</v>
      </c>
      <c r="E238" s="29">
        <v>133</v>
      </c>
      <c r="F238" s="29"/>
      <c r="G238" s="29">
        <v>168</v>
      </c>
      <c r="H238" s="30"/>
      <c r="I238" s="30"/>
      <c r="J238" s="30"/>
      <c r="K238" s="33"/>
      <c r="L238" s="30"/>
      <c r="M238" s="30"/>
      <c r="N238" s="5"/>
      <c r="O238" s="5"/>
    </row>
    <row r="239" spans="1: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>
      <c r="A240" s="14" t="s">
        <v>109</v>
      </c>
      <c r="B240" s="12" t="s">
        <v>1884</v>
      </c>
      <c r="C240" s="12" t="s">
        <v>1535</v>
      </c>
      <c r="D240" s="12" t="s">
        <v>1885</v>
      </c>
      <c r="E240" s="12"/>
      <c r="F240" s="12"/>
      <c r="G240" s="12"/>
      <c r="H240" s="15"/>
      <c r="I240" s="15"/>
      <c r="J240" s="15"/>
      <c r="K240" s="15"/>
      <c r="L240" s="13">
        <v>6038</v>
      </c>
      <c r="M240" s="12" t="s">
        <v>1886</v>
      </c>
      <c r="N240" s="5">
        <f>SUM(B240:L241)</f>
        <v>17187</v>
      </c>
      <c r="O240" s="5"/>
    </row>
    <row r="241" spans="1:15">
      <c r="A241" s="13"/>
      <c r="B241" s="15">
        <v>10406</v>
      </c>
      <c r="C241" s="15">
        <v>610</v>
      </c>
      <c r="D241" s="15">
        <v>133</v>
      </c>
      <c r="E241" s="15"/>
      <c r="F241" s="15"/>
      <c r="G241" s="15"/>
      <c r="H241" s="13"/>
      <c r="I241" s="13"/>
      <c r="J241" s="13"/>
      <c r="K241" s="13"/>
      <c r="L241" s="13"/>
      <c r="M241" s="13"/>
      <c r="N241" s="5"/>
      <c r="O241" s="5"/>
    </row>
    <row r="242" spans="1: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5"/>
      <c r="O242" s="5"/>
    </row>
    <row r="243" spans="1:15">
      <c r="A243" s="33" t="s">
        <v>113</v>
      </c>
      <c r="B243" s="32" t="s">
        <v>1887</v>
      </c>
      <c r="C243" s="32" t="s">
        <v>1888</v>
      </c>
      <c r="D243" s="29" t="s">
        <v>1888</v>
      </c>
      <c r="E243" s="32" t="s">
        <v>1888</v>
      </c>
      <c r="F243" s="32" t="s">
        <v>1998</v>
      </c>
      <c r="G243" s="32"/>
      <c r="H243" s="32"/>
      <c r="I243" s="32"/>
      <c r="J243" s="32"/>
      <c r="K243" s="29"/>
      <c r="L243" s="30">
        <v>4770</v>
      </c>
      <c r="M243" s="32" t="s">
        <v>1889</v>
      </c>
      <c r="N243" s="5">
        <f>SUM(B243:L244)</f>
        <v>18978</v>
      </c>
      <c r="O243" s="5"/>
    </row>
    <row r="244" spans="1:15">
      <c r="A244" s="30"/>
      <c r="B244" s="29">
        <v>10058</v>
      </c>
      <c r="C244" s="29">
        <v>2758</v>
      </c>
      <c r="D244" s="30">
        <v>389</v>
      </c>
      <c r="E244" s="29">
        <v>304</v>
      </c>
      <c r="F244" s="29">
        <v>699</v>
      </c>
      <c r="G244" s="29"/>
      <c r="H244" s="30"/>
      <c r="I244" s="30"/>
      <c r="J244" s="30"/>
      <c r="K244" s="30"/>
      <c r="L244" s="30"/>
      <c r="M244" s="30"/>
      <c r="N244" s="5"/>
      <c r="O244" s="5"/>
    </row>
    <row r="245" spans="1: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5"/>
      <c r="O245" s="5"/>
    </row>
    <row r="246" spans="1:15">
      <c r="A246" s="14" t="s">
        <v>124</v>
      </c>
      <c r="B246" s="12" t="s">
        <v>125</v>
      </c>
      <c r="C246" s="12"/>
      <c r="D246" s="12" t="s">
        <v>1011</v>
      </c>
      <c r="E246" s="12"/>
      <c r="F246" s="12" t="s">
        <v>313</v>
      </c>
      <c r="G246" s="12" t="s">
        <v>313</v>
      </c>
      <c r="H246" s="12" t="s">
        <v>206</v>
      </c>
      <c r="I246" s="12"/>
      <c r="J246" s="12"/>
      <c r="K246" s="12"/>
      <c r="L246" s="13">
        <v>8320</v>
      </c>
      <c r="M246" s="12" t="s">
        <v>126</v>
      </c>
      <c r="N246" s="5">
        <f>SUM(B246:L247)</f>
        <v>24576</v>
      </c>
      <c r="O246" s="5"/>
    </row>
    <row r="247" spans="1:15">
      <c r="A247" s="13"/>
      <c r="B247" s="15">
        <v>14126</v>
      </c>
      <c r="C247" s="15"/>
      <c r="D247" s="15">
        <v>679</v>
      </c>
      <c r="E247" s="15"/>
      <c r="F247" s="15">
        <v>747</v>
      </c>
      <c r="G247" s="15">
        <v>371</v>
      </c>
      <c r="H247" s="15">
        <v>333</v>
      </c>
      <c r="I247" s="15"/>
      <c r="J247" s="15"/>
      <c r="K247" s="15"/>
      <c r="L247" s="13"/>
      <c r="M247" s="13"/>
      <c r="N247" s="5"/>
      <c r="O247" s="5"/>
    </row>
    <row r="248" spans="1: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5"/>
      <c r="O248" s="5"/>
    </row>
    <row r="249" spans="1:15">
      <c r="A249" s="33" t="s">
        <v>130</v>
      </c>
      <c r="B249" s="32" t="s">
        <v>1890</v>
      </c>
      <c r="C249" s="32" t="s">
        <v>1891</v>
      </c>
      <c r="D249" s="32" t="s">
        <v>1892</v>
      </c>
      <c r="E249" s="32" t="s">
        <v>1892</v>
      </c>
      <c r="F249" s="32"/>
      <c r="G249" s="32"/>
      <c r="H249" s="29"/>
      <c r="I249" s="29"/>
      <c r="J249" s="29"/>
      <c r="K249" s="29"/>
      <c r="L249" s="30">
        <v>7623</v>
      </c>
      <c r="M249" s="32" t="s">
        <v>1893</v>
      </c>
      <c r="N249" s="5">
        <f>SUM(B249:L250)</f>
        <v>26982</v>
      </c>
      <c r="O249" s="5"/>
    </row>
    <row r="250" spans="1:15">
      <c r="A250" s="30"/>
      <c r="B250" s="29">
        <v>13799</v>
      </c>
      <c r="C250" s="29">
        <v>3764</v>
      </c>
      <c r="D250" s="29">
        <v>929</v>
      </c>
      <c r="E250" s="30">
        <v>867</v>
      </c>
      <c r="F250" s="30"/>
      <c r="G250" s="30"/>
      <c r="H250" s="30"/>
      <c r="I250" s="30"/>
      <c r="J250" s="30"/>
      <c r="K250" s="29"/>
      <c r="L250" s="30"/>
      <c r="M250" s="30"/>
      <c r="N250" s="5"/>
      <c r="O250" s="5"/>
    </row>
    <row r="251" spans="1: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5"/>
      <c r="O251" s="5"/>
    </row>
    <row r="252" spans="1:15">
      <c r="A252" s="14" t="s">
        <v>136</v>
      </c>
      <c r="B252" s="12" t="s">
        <v>204</v>
      </c>
      <c r="C252" s="12" t="s">
        <v>1894</v>
      </c>
      <c r="D252" s="15" t="s">
        <v>943</v>
      </c>
      <c r="E252" s="12"/>
      <c r="F252" s="12" t="s">
        <v>204</v>
      </c>
      <c r="G252" s="12"/>
      <c r="H252" s="12"/>
      <c r="I252" s="12"/>
      <c r="J252" s="12"/>
      <c r="K252" s="15"/>
      <c r="L252" s="13">
        <v>6218</v>
      </c>
      <c r="M252" s="12" t="s">
        <v>205</v>
      </c>
      <c r="N252" s="5">
        <f>SUM(B252:L253)</f>
        <v>20490</v>
      </c>
      <c r="O252" s="5"/>
    </row>
    <row r="253" spans="1:15">
      <c r="A253" s="13"/>
      <c r="B253" s="15">
        <v>13069</v>
      </c>
      <c r="C253" s="15">
        <v>705</v>
      </c>
      <c r="D253" s="15">
        <v>142</v>
      </c>
      <c r="E253" s="15"/>
      <c r="F253" s="15">
        <v>356</v>
      </c>
      <c r="G253" s="15"/>
      <c r="H253" s="13"/>
      <c r="I253" s="13"/>
      <c r="J253" s="13"/>
      <c r="K253" s="15"/>
      <c r="L253" s="13"/>
      <c r="M253" s="13"/>
      <c r="N253" s="5"/>
      <c r="O253" s="5"/>
    </row>
    <row r="254" spans="1: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5"/>
      <c r="O254" s="5"/>
    </row>
    <row r="255" spans="1:15">
      <c r="A255" s="33" t="s">
        <v>140</v>
      </c>
      <c r="B255" s="29" t="s">
        <v>229</v>
      </c>
      <c r="C255" s="32" t="s">
        <v>229</v>
      </c>
      <c r="D255" s="29" t="s">
        <v>1895</v>
      </c>
      <c r="E255" s="32" t="s">
        <v>1896</v>
      </c>
      <c r="F255" s="32"/>
      <c r="G255" s="32" t="s">
        <v>229</v>
      </c>
      <c r="H255" s="32"/>
      <c r="I255" s="32"/>
      <c r="J255" s="32"/>
      <c r="K255" s="29"/>
      <c r="L255" s="30">
        <v>5305</v>
      </c>
      <c r="M255" s="32" t="s">
        <v>88</v>
      </c>
      <c r="N255" s="5">
        <f>SUM(B255:L256)</f>
        <v>16024</v>
      </c>
      <c r="O255" s="5"/>
    </row>
    <row r="256" spans="1:15">
      <c r="A256" s="30"/>
      <c r="B256" s="29">
        <v>7963</v>
      </c>
      <c r="C256" s="29">
        <v>1070</v>
      </c>
      <c r="D256" s="30">
        <v>103</v>
      </c>
      <c r="E256" s="30">
        <v>1350</v>
      </c>
      <c r="F256" s="30"/>
      <c r="G256" s="30">
        <v>233</v>
      </c>
      <c r="H256" s="29"/>
      <c r="I256" s="29"/>
      <c r="J256" s="29"/>
      <c r="K256" s="29"/>
      <c r="L256" s="30"/>
      <c r="M256" s="30"/>
      <c r="N256" s="5"/>
      <c r="O256" s="5"/>
    </row>
    <row r="257" spans="1: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5"/>
      <c r="O257" s="5"/>
    </row>
    <row r="258" spans="1:15">
      <c r="A258" s="14" t="s">
        <v>144</v>
      </c>
      <c r="B258" s="15" t="s">
        <v>1366</v>
      </c>
      <c r="C258" s="12" t="s">
        <v>1703</v>
      </c>
      <c r="D258" s="15" t="s">
        <v>1703</v>
      </c>
      <c r="E258" s="15"/>
      <c r="F258" s="15"/>
      <c r="G258" s="15"/>
      <c r="H258" s="12"/>
      <c r="I258" s="12"/>
      <c r="J258" s="12"/>
      <c r="K258" s="15"/>
      <c r="L258" s="13">
        <v>6594</v>
      </c>
      <c r="M258" s="12" t="s">
        <v>1369</v>
      </c>
      <c r="N258" s="5">
        <f>SUM(B258:L259)</f>
        <v>16262</v>
      </c>
      <c r="O258" s="5"/>
    </row>
    <row r="259" spans="1:15">
      <c r="A259" s="13"/>
      <c r="B259" s="15">
        <v>8957</v>
      </c>
      <c r="C259" s="13">
        <v>606</v>
      </c>
      <c r="D259" s="15">
        <v>105</v>
      </c>
      <c r="E259" s="13"/>
      <c r="F259" s="13"/>
      <c r="G259" s="13"/>
      <c r="H259" s="15"/>
      <c r="I259" s="15"/>
      <c r="J259" s="15"/>
      <c r="K259" s="13"/>
      <c r="L259" s="13"/>
      <c r="M259" s="13"/>
      <c r="N259" s="5"/>
      <c r="O259" s="5"/>
    </row>
    <row r="260" spans="1: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5"/>
      <c r="O260" s="5"/>
    </row>
    <row r="261" spans="1:15">
      <c r="A261" s="33" t="s">
        <v>148</v>
      </c>
      <c r="B261" s="29" t="s">
        <v>1531</v>
      </c>
      <c r="C261" s="32" t="s">
        <v>1704</v>
      </c>
      <c r="D261" s="29" t="s">
        <v>1363</v>
      </c>
      <c r="E261" s="29"/>
      <c r="F261" s="29"/>
      <c r="G261" s="29"/>
      <c r="H261" s="32"/>
      <c r="I261" s="32"/>
      <c r="J261" s="32"/>
      <c r="K261" s="29"/>
      <c r="L261" s="30">
        <v>4523</v>
      </c>
      <c r="M261" s="32" t="s">
        <v>1533</v>
      </c>
      <c r="N261" s="5">
        <f>SUM(B261:L262)</f>
        <v>11958</v>
      </c>
      <c r="O261" s="5"/>
    </row>
    <row r="262" spans="1:15">
      <c r="A262" s="30"/>
      <c r="B262" s="29">
        <v>6793</v>
      </c>
      <c r="C262" s="30">
        <v>562</v>
      </c>
      <c r="D262" s="30">
        <v>80</v>
      </c>
      <c r="E262" s="30"/>
      <c r="F262" s="30"/>
      <c r="G262" s="30"/>
      <c r="H262" s="29"/>
      <c r="I262" s="29"/>
      <c r="J262" s="29"/>
      <c r="K262" s="30"/>
      <c r="L262" s="30"/>
      <c r="M262" s="30"/>
      <c r="N262" s="5"/>
      <c r="O262" s="5"/>
    </row>
    <row r="263" spans="1: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5"/>
      <c r="O263" s="5"/>
    </row>
    <row r="264" spans="1:15">
      <c r="A264" s="14" t="s">
        <v>153</v>
      </c>
      <c r="B264" s="15" t="s">
        <v>189</v>
      </c>
      <c r="C264" s="12"/>
      <c r="D264" s="12"/>
      <c r="E264" s="15" t="s">
        <v>189</v>
      </c>
      <c r="F264" s="15" t="s">
        <v>189</v>
      </c>
      <c r="G264" s="15"/>
      <c r="H264" s="12"/>
      <c r="I264" s="12"/>
      <c r="J264" s="12"/>
      <c r="K264" s="15"/>
      <c r="L264" s="13">
        <v>8722</v>
      </c>
      <c r="M264" s="12" t="s">
        <v>433</v>
      </c>
      <c r="N264" s="5">
        <f>SUM(B264:L265)</f>
        <v>23505</v>
      </c>
      <c r="O264" s="5"/>
    </row>
    <row r="265" spans="1:15">
      <c r="A265" s="13"/>
      <c r="B265" s="15">
        <v>13456</v>
      </c>
      <c r="C265" s="15"/>
      <c r="D265" s="15"/>
      <c r="E265" s="13">
        <v>890</v>
      </c>
      <c r="F265" s="13">
        <v>437</v>
      </c>
      <c r="G265" s="13"/>
      <c r="H265" s="15"/>
      <c r="I265" s="15"/>
      <c r="J265" s="15"/>
      <c r="K265" s="13"/>
      <c r="L265" s="13"/>
      <c r="M265" s="13"/>
      <c r="N265" s="5"/>
      <c r="O265" s="5"/>
    </row>
    <row r="266" spans="1: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5"/>
      <c r="O266" s="5"/>
    </row>
    <row r="267" spans="1:15">
      <c r="A267" s="33" t="s">
        <v>161</v>
      </c>
      <c r="B267" s="29" t="s">
        <v>206</v>
      </c>
      <c r="C267" s="32" t="s">
        <v>693</v>
      </c>
      <c r="D267" s="32" t="s">
        <v>693</v>
      </c>
      <c r="E267" s="29" t="s">
        <v>206</v>
      </c>
      <c r="F267" s="29" t="s">
        <v>206</v>
      </c>
      <c r="G267" s="29"/>
      <c r="H267" s="32"/>
      <c r="I267" s="32"/>
      <c r="J267" s="32"/>
      <c r="K267" s="29"/>
      <c r="L267" s="30">
        <v>3252</v>
      </c>
      <c r="M267" s="32" t="s">
        <v>207</v>
      </c>
      <c r="N267" s="5">
        <f>SUM(B267:L268)</f>
        <v>37473</v>
      </c>
      <c r="O267" s="5"/>
    </row>
    <row r="268" spans="1:15">
      <c r="A268" s="30"/>
      <c r="B268" s="29">
        <v>18455</v>
      </c>
      <c r="C268" s="29">
        <v>12731</v>
      </c>
      <c r="D268" s="29">
        <v>1414</v>
      </c>
      <c r="E268" s="30">
        <v>1093</v>
      </c>
      <c r="F268" s="30">
        <v>528</v>
      </c>
      <c r="G268" s="30"/>
      <c r="H268" s="30"/>
      <c r="I268" s="30"/>
      <c r="J268" s="30"/>
      <c r="K268" s="30"/>
      <c r="L268" s="30"/>
      <c r="M268" s="30"/>
      <c r="N268" s="5"/>
      <c r="O268" s="5"/>
    </row>
    <row r="269" spans="1: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5"/>
      <c r="O269" s="5"/>
    </row>
    <row r="270" spans="1:15">
      <c r="A270" s="14" t="s">
        <v>167</v>
      </c>
      <c r="B270" s="15" t="s">
        <v>1373</v>
      </c>
      <c r="C270" s="15"/>
      <c r="D270" s="15"/>
      <c r="E270" s="15" t="s">
        <v>1373</v>
      </c>
      <c r="F270" s="15" t="s">
        <v>1373</v>
      </c>
      <c r="G270" s="15"/>
      <c r="H270" s="12" t="s">
        <v>1897</v>
      </c>
      <c r="I270" s="12"/>
      <c r="J270" s="12"/>
      <c r="K270" s="15"/>
      <c r="L270" s="13">
        <v>18191</v>
      </c>
      <c r="M270" s="12" t="s">
        <v>1374</v>
      </c>
      <c r="N270" s="5">
        <f>SUM(B270:L271)</f>
        <v>41151</v>
      </c>
      <c r="O270" s="5"/>
    </row>
    <row r="271" spans="1:15">
      <c r="A271" s="13"/>
      <c r="B271" s="15">
        <v>18961</v>
      </c>
      <c r="C271" s="15"/>
      <c r="D271" s="15"/>
      <c r="E271" s="13">
        <v>1855</v>
      </c>
      <c r="F271" s="13">
        <v>639</v>
      </c>
      <c r="G271" s="13"/>
      <c r="H271" s="15">
        <v>1505</v>
      </c>
      <c r="I271" s="15"/>
      <c r="J271" s="15"/>
      <c r="K271" s="13"/>
      <c r="L271" s="13"/>
      <c r="M271" s="13"/>
      <c r="N271" s="5"/>
      <c r="O271" s="5"/>
    </row>
    <row r="272" spans="1: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5"/>
      <c r="O272" s="5"/>
    </row>
    <row r="273" spans="1:15">
      <c r="A273" s="33" t="s">
        <v>172</v>
      </c>
      <c r="B273" s="29" t="s">
        <v>1706</v>
      </c>
      <c r="C273" s="32" t="s">
        <v>1898</v>
      </c>
      <c r="D273" s="32" t="s">
        <v>1898</v>
      </c>
      <c r="E273" s="29" t="s">
        <v>230</v>
      </c>
      <c r="F273" s="29" t="s">
        <v>230</v>
      </c>
      <c r="G273" s="29"/>
      <c r="H273" s="32" t="s">
        <v>1899</v>
      </c>
      <c r="I273" s="32" t="s">
        <v>1898</v>
      </c>
      <c r="J273" s="32"/>
      <c r="K273" s="29"/>
      <c r="L273" s="30">
        <v>3559</v>
      </c>
      <c r="M273" s="32" t="s">
        <v>173</v>
      </c>
      <c r="N273" s="5">
        <f>SUM(B273:L274)</f>
        <v>39732</v>
      </c>
      <c r="O273" s="5"/>
    </row>
    <row r="274" spans="1:15">
      <c r="A274" s="30"/>
      <c r="B274" s="29">
        <v>18112</v>
      </c>
      <c r="C274" s="29">
        <v>12529</v>
      </c>
      <c r="D274" s="29">
        <v>1526</v>
      </c>
      <c r="E274" s="30">
        <v>1865</v>
      </c>
      <c r="F274" s="30">
        <v>713</v>
      </c>
      <c r="G274" s="30"/>
      <c r="H274" s="29">
        <v>766</v>
      </c>
      <c r="I274" s="29">
        <v>662</v>
      </c>
      <c r="J274" s="29"/>
      <c r="K274" s="30"/>
      <c r="L274" s="30"/>
      <c r="M274" s="30"/>
      <c r="N274" s="5"/>
      <c r="O274" s="5"/>
    </row>
    <row r="275" spans="1: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5"/>
      <c r="O275" s="5"/>
    </row>
    <row r="276" spans="1:15">
      <c r="A276" s="14" t="s">
        <v>177</v>
      </c>
      <c r="B276" s="15" t="s">
        <v>1900</v>
      </c>
      <c r="C276" s="12" t="s">
        <v>1901</v>
      </c>
      <c r="D276" s="12" t="s">
        <v>1901</v>
      </c>
      <c r="E276" s="15" t="s">
        <v>1901</v>
      </c>
      <c r="F276" s="15" t="s">
        <v>1901</v>
      </c>
      <c r="G276" s="15"/>
      <c r="H276" s="12" t="s">
        <v>1902</v>
      </c>
      <c r="I276" s="12"/>
      <c r="J276" s="12"/>
      <c r="K276" s="15"/>
      <c r="L276" s="13">
        <v>2740</v>
      </c>
      <c r="M276" s="12" t="s">
        <v>1903</v>
      </c>
      <c r="N276" s="5">
        <f>SUM(B276:L277)</f>
        <v>32814</v>
      </c>
      <c r="O276" s="5"/>
    </row>
    <row r="277" spans="1:15">
      <c r="A277" s="13"/>
      <c r="B277" s="13">
        <v>13787</v>
      </c>
      <c r="C277" s="14">
        <v>13080</v>
      </c>
      <c r="D277" s="13">
        <v>1178</v>
      </c>
      <c r="E277" s="13">
        <v>1316</v>
      </c>
      <c r="F277" s="13">
        <v>317</v>
      </c>
      <c r="G277" s="13"/>
      <c r="H277" s="14">
        <v>396</v>
      </c>
      <c r="I277" s="14"/>
      <c r="J277" s="14"/>
      <c r="K277" s="13"/>
      <c r="L277" s="13"/>
      <c r="M277" s="5"/>
      <c r="N277" s="5"/>
      <c r="O277" s="5"/>
    </row>
    <row r="278" spans="1:15">
      <c r="A278" s="13"/>
      <c r="B278" s="13"/>
      <c r="C278" s="14"/>
      <c r="D278" s="13"/>
      <c r="E278" s="13"/>
      <c r="F278" s="13"/>
      <c r="G278" s="13"/>
      <c r="H278" s="14"/>
      <c r="I278" s="14"/>
      <c r="J278" s="14"/>
      <c r="K278" s="13"/>
      <c r="L278" s="13"/>
      <c r="M278" s="5"/>
      <c r="N278" s="5"/>
      <c r="O278" s="5"/>
    </row>
    <row r="279" spans="1:15">
      <c r="A279" s="33" t="s">
        <v>6</v>
      </c>
      <c r="B279" s="29" t="s">
        <v>1376</v>
      </c>
      <c r="C279" s="32"/>
      <c r="D279" s="29"/>
      <c r="E279" s="29" t="s">
        <v>1376</v>
      </c>
      <c r="F279" s="29" t="s">
        <v>1376</v>
      </c>
      <c r="G279" s="29"/>
      <c r="H279" s="29" t="s">
        <v>1904</v>
      </c>
      <c r="I279" s="29"/>
      <c r="J279" s="29"/>
      <c r="K279" s="29"/>
      <c r="L279" s="30">
        <v>15936</v>
      </c>
      <c r="M279" s="32" t="s">
        <v>1377</v>
      </c>
      <c r="N279" s="5">
        <f>SUM(B279:L280)</f>
        <v>40861</v>
      </c>
      <c r="O279" s="5"/>
    </row>
    <row r="280" spans="1:15">
      <c r="A280" s="30"/>
      <c r="B280" s="30">
        <v>20821</v>
      </c>
      <c r="C280" s="30"/>
      <c r="D280" s="30"/>
      <c r="E280" s="30">
        <v>1953</v>
      </c>
      <c r="F280" s="30">
        <v>714</v>
      </c>
      <c r="G280" s="30"/>
      <c r="H280" s="30">
        <v>1437</v>
      </c>
      <c r="I280" s="30"/>
      <c r="J280" s="30"/>
      <c r="K280" s="30"/>
      <c r="L280" s="30"/>
      <c r="M280" s="30"/>
      <c r="N280" s="5"/>
      <c r="O280" s="5"/>
    </row>
    <row r="281" spans="1: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5"/>
      <c r="M281" s="13"/>
      <c r="N281" s="5"/>
      <c r="O281" s="5"/>
    </row>
    <row r="282" spans="1:15">
      <c r="A282" s="14" t="s">
        <v>13</v>
      </c>
      <c r="B282" s="15" t="s">
        <v>1905</v>
      </c>
      <c r="C282" s="15" t="s">
        <v>1182</v>
      </c>
      <c r="D282" s="15" t="s">
        <v>1182</v>
      </c>
      <c r="E282" s="15" t="s">
        <v>1182</v>
      </c>
      <c r="F282" s="15" t="s">
        <v>1182</v>
      </c>
      <c r="G282" s="15"/>
      <c r="H282" s="15"/>
      <c r="I282" s="15"/>
      <c r="J282" s="15"/>
      <c r="K282" s="15"/>
      <c r="L282" s="13">
        <v>4652</v>
      </c>
      <c r="M282" s="12" t="s">
        <v>1185</v>
      </c>
      <c r="N282" s="5">
        <f>SUM(B282:L283)</f>
        <v>33245</v>
      </c>
      <c r="O282" s="5"/>
    </row>
    <row r="283" spans="1:15">
      <c r="A283" s="13"/>
      <c r="B283" s="13">
        <v>9534</v>
      </c>
      <c r="C283" s="13">
        <v>15255</v>
      </c>
      <c r="D283" s="13">
        <v>2029</v>
      </c>
      <c r="E283" s="13">
        <v>1380</v>
      </c>
      <c r="F283" s="13">
        <v>395</v>
      </c>
      <c r="G283" s="13"/>
      <c r="H283" s="13"/>
      <c r="I283" s="13"/>
      <c r="J283" s="13"/>
      <c r="K283" s="13"/>
      <c r="L283" s="13"/>
      <c r="M283" s="13"/>
      <c r="N283" s="5"/>
      <c r="O283" s="5"/>
    </row>
    <row r="284" spans="1: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5"/>
      <c r="O284" s="5"/>
    </row>
    <row r="285" spans="1:15">
      <c r="A285" s="33" t="s">
        <v>22</v>
      </c>
      <c r="B285" s="29" t="s">
        <v>1906</v>
      </c>
      <c r="C285" s="29"/>
      <c r="D285" s="32" t="s">
        <v>1906</v>
      </c>
      <c r="E285" s="29" t="s">
        <v>1906</v>
      </c>
      <c r="F285" s="32" t="s">
        <v>1906</v>
      </c>
      <c r="G285" s="29"/>
      <c r="H285" s="32" t="s">
        <v>1907</v>
      </c>
      <c r="I285" s="32" t="s">
        <v>1906</v>
      </c>
      <c r="J285" s="32"/>
      <c r="K285" s="29"/>
      <c r="L285" s="30">
        <v>12736</v>
      </c>
      <c r="M285" s="32" t="s">
        <v>1908</v>
      </c>
      <c r="N285" s="5">
        <f>SUM(B285:L286)</f>
        <v>41213</v>
      </c>
      <c r="O285" s="5"/>
    </row>
    <row r="286" spans="1:15">
      <c r="A286" s="30"/>
      <c r="B286" s="30">
        <v>20842</v>
      </c>
      <c r="C286" s="30"/>
      <c r="D286" s="30">
        <v>2834</v>
      </c>
      <c r="E286" s="30">
        <v>1962</v>
      </c>
      <c r="F286" s="30">
        <v>763</v>
      </c>
      <c r="G286" s="30"/>
      <c r="H286" s="30">
        <v>1497</v>
      </c>
      <c r="I286" s="30">
        <v>579</v>
      </c>
      <c r="J286" s="30"/>
      <c r="K286" s="30"/>
      <c r="L286" s="30"/>
      <c r="M286" s="30"/>
      <c r="N286" s="5"/>
      <c r="O286" s="5"/>
    </row>
    <row r="287" spans="1: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5"/>
      <c r="O287" s="5"/>
    </row>
    <row r="288" spans="1:15">
      <c r="A288" s="14" t="s">
        <v>28</v>
      </c>
      <c r="B288" s="15" t="s">
        <v>1711</v>
      </c>
      <c r="C288" s="12" t="s">
        <v>549</v>
      </c>
      <c r="D288" s="12" t="s">
        <v>549</v>
      </c>
      <c r="E288" s="15" t="s">
        <v>1711</v>
      </c>
      <c r="F288" s="15" t="s">
        <v>410</v>
      </c>
      <c r="G288" s="15"/>
      <c r="H288" s="15"/>
      <c r="I288" s="15" t="s">
        <v>267</v>
      </c>
      <c r="J288" s="15"/>
      <c r="K288" s="15"/>
      <c r="L288" s="13">
        <v>3128</v>
      </c>
      <c r="M288" s="12" t="s">
        <v>1713</v>
      </c>
      <c r="N288" s="5">
        <f>SUM(B288:L289)</f>
        <v>36220</v>
      </c>
      <c r="O288" s="5"/>
    </row>
    <row r="289" spans="1:15">
      <c r="A289" s="13"/>
      <c r="B289" s="13">
        <v>15692</v>
      </c>
      <c r="C289" s="13">
        <v>12164</v>
      </c>
      <c r="D289" s="13">
        <v>1694</v>
      </c>
      <c r="E289" s="13">
        <v>1077</v>
      </c>
      <c r="F289" s="13">
        <v>509</v>
      </c>
      <c r="G289" s="13"/>
      <c r="H289" s="13"/>
      <c r="I289" s="13">
        <v>1956</v>
      </c>
      <c r="J289" s="13"/>
      <c r="K289" s="13"/>
      <c r="L289" s="13"/>
      <c r="M289" s="13"/>
      <c r="N289" s="5"/>
      <c r="O289" s="5"/>
    </row>
    <row r="290" spans="1: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5"/>
      <c r="O290" s="5"/>
    </row>
    <row r="291" spans="1:15">
      <c r="A291" s="33" t="s">
        <v>32</v>
      </c>
      <c r="B291" s="29" t="s">
        <v>1188</v>
      </c>
      <c r="C291" s="32" t="s">
        <v>438</v>
      </c>
      <c r="D291" s="32" t="s">
        <v>438</v>
      </c>
      <c r="E291" s="29" t="s">
        <v>438</v>
      </c>
      <c r="F291" s="29" t="s">
        <v>1188</v>
      </c>
      <c r="G291" s="29"/>
      <c r="H291" s="32"/>
      <c r="I291" s="32" t="s">
        <v>1999</v>
      </c>
      <c r="J291" s="32"/>
      <c r="K291" s="29"/>
      <c r="L291" s="30">
        <v>3555</v>
      </c>
      <c r="M291" s="32" t="s">
        <v>1190</v>
      </c>
      <c r="N291" s="5">
        <f>SUM(B291:L292)</f>
        <v>36311</v>
      </c>
      <c r="O291" s="5"/>
    </row>
    <row r="292" spans="1:15">
      <c r="A292" s="30"/>
      <c r="B292" s="30">
        <v>9072</v>
      </c>
      <c r="C292" s="30">
        <v>19386</v>
      </c>
      <c r="D292" s="30">
        <v>1925</v>
      </c>
      <c r="E292" s="30">
        <v>1578</v>
      </c>
      <c r="F292" s="30">
        <v>342</v>
      </c>
      <c r="G292" s="30"/>
      <c r="H292" s="33"/>
      <c r="I292" s="33">
        <v>453</v>
      </c>
      <c r="J292" s="33"/>
      <c r="K292" s="30"/>
      <c r="L292" s="30"/>
      <c r="M292" s="30" t="s">
        <v>33</v>
      </c>
      <c r="N292" s="5"/>
      <c r="O292" s="5"/>
    </row>
    <row r="293" spans="1: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5"/>
      <c r="O293" s="5"/>
    </row>
    <row r="294" spans="1:15">
      <c r="A294" s="14" t="s">
        <v>39</v>
      </c>
      <c r="B294" s="15" t="s">
        <v>1909</v>
      </c>
      <c r="C294" s="12" t="s">
        <v>1910</v>
      </c>
      <c r="D294" s="12" t="s">
        <v>1910</v>
      </c>
      <c r="E294" s="15"/>
      <c r="F294" s="15" t="s">
        <v>1909</v>
      </c>
      <c r="G294" s="15"/>
      <c r="H294" s="15" t="s">
        <v>800</v>
      </c>
      <c r="I294" s="15" t="s">
        <v>2000</v>
      </c>
      <c r="J294" s="15"/>
      <c r="K294" s="15"/>
      <c r="L294" s="13">
        <v>4486</v>
      </c>
      <c r="M294" s="12" t="s">
        <v>1911</v>
      </c>
      <c r="N294" s="5">
        <f>SUM(B294:L295)</f>
        <v>35863</v>
      </c>
      <c r="O294" s="5"/>
    </row>
    <row r="295" spans="1:15">
      <c r="A295" s="13"/>
      <c r="B295" s="13">
        <v>7663</v>
      </c>
      <c r="C295" s="13">
        <v>19360</v>
      </c>
      <c r="D295" s="13">
        <v>2786</v>
      </c>
      <c r="E295" s="13"/>
      <c r="F295" s="13">
        <v>291</v>
      </c>
      <c r="G295" s="13"/>
      <c r="H295" s="13">
        <v>771</v>
      </c>
      <c r="I295" s="13">
        <v>506</v>
      </c>
      <c r="J295" s="13"/>
      <c r="K295" s="13"/>
      <c r="L295" s="13"/>
      <c r="M295" s="13"/>
      <c r="N295" s="5"/>
      <c r="O295" s="5"/>
    </row>
    <row r="296" spans="1: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5"/>
      <c r="O296" s="5"/>
    </row>
    <row r="297" spans="1:15">
      <c r="A297" s="33" t="s">
        <v>48</v>
      </c>
      <c r="B297" s="29" t="s">
        <v>1912</v>
      </c>
      <c r="C297" s="32" t="s">
        <v>1913</v>
      </c>
      <c r="D297" s="29" t="s">
        <v>1912</v>
      </c>
      <c r="E297" s="29"/>
      <c r="F297" s="29" t="s">
        <v>1913</v>
      </c>
      <c r="G297" s="29"/>
      <c r="H297" s="32" t="s">
        <v>1914</v>
      </c>
      <c r="I297" s="32" t="s">
        <v>2001</v>
      </c>
      <c r="J297" s="32"/>
      <c r="K297" s="29" t="s">
        <v>1916</v>
      </c>
      <c r="L297" s="30">
        <v>4011</v>
      </c>
      <c r="M297" s="32" t="s">
        <v>1915</v>
      </c>
      <c r="N297" s="5">
        <f>SUM(B297:L298)</f>
        <v>33442</v>
      </c>
      <c r="O297" s="5"/>
    </row>
    <row r="298" spans="1:15">
      <c r="A298" s="30"/>
      <c r="B298" s="30">
        <v>17640</v>
      </c>
      <c r="C298" s="30">
        <v>8428</v>
      </c>
      <c r="D298" s="30">
        <v>1887</v>
      </c>
      <c r="E298" s="30"/>
      <c r="F298" s="30">
        <v>218</v>
      </c>
      <c r="G298" s="30"/>
      <c r="H298" s="30">
        <v>615</v>
      </c>
      <c r="I298" s="30">
        <v>401</v>
      </c>
      <c r="J298" s="30"/>
      <c r="K298" s="30">
        <v>242</v>
      </c>
      <c r="L298" s="30"/>
      <c r="M298" s="30"/>
      <c r="N298" s="5"/>
      <c r="O298" s="5"/>
    </row>
    <row r="299" spans="1:1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5"/>
      <c r="O299" s="5"/>
    </row>
    <row r="300" spans="1:15" ht="17.25">
      <c r="A300" s="30" t="s">
        <v>2002</v>
      </c>
      <c r="B300" s="29" t="s">
        <v>241</v>
      </c>
      <c r="C300" s="29" t="s">
        <v>1917</v>
      </c>
      <c r="D300" s="29" t="s">
        <v>1917</v>
      </c>
      <c r="E300" s="29"/>
      <c r="F300" s="29" t="s">
        <v>241</v>
      </c>
      <c r="G300" s="29"/>
      <c r="H300" s="29"/>
      <c r="I300" s="29"/>
      <c r="J300" s="29"/>
      <c r="K300" s="29"/>
      <c r="L300" s="29">
        <v>1830</v>
      </c>
      <c r="M300" s="29" t="s">
        <v>242</v>
      </c>
      <c r="N300" s="5">
        <f>SUM(B300:L301)</f>
        <v>33436</v>
      </c>
      <c r="O300" s="5"/>
    </row>
    <row r="301" spans="1:15">
      <c r="A301" s="30"/>
      <c r="B301" s="30">
        <v>18757</v>
      </c>
      <c r="C301" s="30">
        <v>10215</v>
      </c>
      <c r="D301" s="30">
        <v>1184</v>
      </c>
      <c r="E301" s="30"/>
      <c r="F301" s="30">
        <v>1450</v>
      </c>
      <c r="G301" s="30"/>
      <c r="H301" s="30"/>
      <c r="I301" s="30"/>
      <c r="J301" s="30"/>
      <c r="K301" s="30"/>
      <c r="L301" s="30"/>
      <c r="M301" s="30"/>
      <c r="N301" s="5"/>
      <c r="O301" s="5"/>
    </row>
    <row r="302" spans="1: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5"/>
      <c r="O302" s="5"/>
    </row>
    <row r="303" spans="1:15">
      <c r="A303" s="14" t="s">
        <v>56</v>
      </c>
      <c r="B303" s="15"/>
      <c r="C303" s="12" t="s">
        <v>1540</v>
      </c>
      <c r="D303" s="12" t="s">
        <v>1540</v>
      </c>
      <c r="E303" s="12" t="s">
        <v>1540</v>
      </c>
      <c r="F303" s="12" t="s">
        <v>2003</v>
      </c>
      <c r="G303" s="12"/>
      <c r="H303" s="15" t="s">
        <v>1918</v>
      </c>
      <c r="I303" s="15"/>
      <c r="J303" s="15"/>
      <c r="K303" s="15"/>
      <c r="L303" s="13">
        <v>11839</v>
      </c>
      <c r="M303" s="12" t="s">
        <v>1717</v>
      </c>
      <c r="N303" s="5">
        <f>SUM(B303:L304)</f>
        <v>40559</v>
      </c>
      <c r="O303" s="5"/>
    </row>
    <row r="304" spans="1:15">
      <c r="A304" s="13"/>
      <c r="B304" s="13"/>
      <c r="C304" s="13">
        <v>21741</v>
      </c>
      <c r="D304" s="13">
        <v>2212</v>
      </c>
      <c r="E304" s="13">
        <v>2368</v>
      </c>
      <c r="F304" s="13">
        <v>1027</v>
      </c>
      <c r="G304" s="13"/>
      <c r="H304" s="13">
        <v>1372</v>
      </c>
      <c r="I304" s="13"/>
      <c r="J304" s="13"/>
      <c r="K304" s="13"/>
      <c r="L304" s="13"/>
      <c r="M304" s="13"/>
      <c r="N304" s="5"/>
      <c r="O304" s="5"/>
    </row>
    <row r="305" spans="1: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5"/>
      <c r="O305" s="5"/>
    </row>
    <row r="306" spans="1:15">
      <c r="A306" s="33" t="s">
        <v>1384</v>
      </c>
      <c r="B306" s="29"/>
      <c r="C306" s="32" t="s">
        <v>1195</v>
      </c>
      <c r="D306" s="32" t="s">
        <v>1195</v>
      </c>
      <c r="E306" s="29" t="s">
        <v>1919</v>
      </c>
      <c r="F306" s="29"/>
      <c r="G306" s="29"/>
      <c r="H306" s="32" t="s">
        <v>1195</v>
      </c>
      <c r="I306" s="32" t="s">
        <v>2004</v>
      </c>
      <c r="J306" s="32"/>
      <c r="K306" s="29"/>
      <c r="L306" s="30">
        <v>10474</v>
      </c>
      <c r="M306" s="32" t="s">
        <v>1196</v>
      </c>
      <c r="N306" s="5">
        <f>SUM(B306:L307)</f>
        <v>30206</v>
      </c>
      <c r="O306" s="5"/>
    </row>
    <row r="307" spans="1:15">
      <c r="A307" s="30"/>
      <c r="B307" s="30"/>
      <c r="C307" s="30">
        <v>15291</v>
      </c>
      <c r="D307" s="30">
        <v>1430</v>
      </c>
      <c r="E307" s="30">
        <v>1339</v>
      </c>
      <c r="F307" s="30"/>
      <c r="G307" s="30"/>
      <c r="H307" s="33">
        <v>860</v>
      </c>
      <c r="I307" s="33">
        <v>812</v>
      </c>
      <c r="J307" s="33"/>
      <c r="K307" s="30"/>
      <c r="L307" s="30"/>
      <c r="M307" s="30"/>
      <c r="N307" s="5"/>
      <c r="O307" s="5"/>
    </row>
    <row r="308" spans="1: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5"/>
      <c r="O308" s="5"/>
    </row>
    <row r="309" spans="1:15">
      <c r="A309" s="14" t="s">
        <v>63</v>
      </c>
      <c r="B309" s="15" t="s">
        <v>190</v>
      </c>
      <c r="C309" s="15" t="s">
        <v>1920</v>
      </c>
      <c r="D309" s="15" t="s">
        <v>1920</v>
      </c>
      <c r="E309" s="15" t="s">
        <v>190</v>
      </c>
      <c r="F309" s="15" t="s">
        <v>190</v>
      </c>
      <c r="G309" s="15"/>
      <c r="H309" s="15"/>
      <c r="I309" s="15" t="s">
        <v>1455</v>
      </c>
      <c r="J309" s="15" t="s">
        <v>2005</v>
      </c>
      <c r="K309" s="15"/>
      <c r="L309" s="13">
        <v>2757</v>
      </c>
      <c r="M309" s="12" t="s">
        <v>208</v>
      </c>
      <c r="N309" s="5">
        <f>SUM(B309:L310)</f>
        <v>44031</v>
      </c>
      <c r="O309" s="5"/>
    </row>
    <row r="310" spans="1:15">
      <c r="A310" s="13"/>
      <c r="B310" s="13">
        <v>22326</v>
      </c>
      <c r="C310" s="13">
        <v>11832</v>
      </c>
      <c r="D310" s="13">
        <v>1603</v>
      </c>
      <c r="E310" s="13">
        <v>3143</v>
      </c>
      <c r="F310" s="13">
        <v>1105</v>
      </c>
      <c r="G310" s="13"/>
      <c r="H310" s="13"/>
      <c r="I310" s="13">
        <v>976</v>
      </c>
      <c r="J310" s="13">
        <v>289</v>
      </c>
      <c r="K310" s="13"/>
      <c r="L310" s="13"/>
      <c r="M310" s="13"/>
      <c r="N310" s="5"/>
      <c r="O310" s="5"/>
    </row>
    <row r="311" spans="1: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5"/>
      <c r="O311" s="5"/>
    </row>
    <row r="312" spans="1:15">
      <c r="A312" s="33" t="s">
        <v>70</v>
      </c>
      <c r="B312" s="29" t="s">
        <v>1541</v>
      </c>
      <c r="C312" s="32" t="s">
        <v>231</v>
      </c>
      <c r="D312" s="32" t="s">
        <v>231</v>
      </c>
      <c r="E312" s="32"/>
      <c r="F312" s="32"/>
      <c r="G312" s="32"/>
      <c r="H312" s="29"/>
      <c r="I312" s="29"/>
      <c r="J312" s="29"/>
      <c r="K312" s="29"/>
      <c r="L312" s="30">
        <v>4597</v>
      </c>
      <c r="M312" s="32" t="s">
        <v>1199</v>
      </c>
      <c r="N312" s="5">
        <f>SUM(B312:L313)</f>
        <v>36258</v>
      </c>
      <c r="O312" s="5"/>
    </row>
    <row r="313" spans="1:15">
      <c r="A313" s="30"/>
      <c r="B313" s="30">
        <v>8909</v>
      </c>
      <c r="C313" s="30">
        <v>20367</v>
      </c>
      <c r="D313" s="30">
        <v>2385</v>
      </c>
      <c r="E313" s="30"/>
      <c r="F313" s="30"/>
      <c r="G313" s="30"/>
      <c r="H313" s="30"/>
      <c r="I313" s="30"/>
      <c r="J313" s="30"/>
      <c r="K313" s="30"/>
      <c r="L313" s="30"/>
      <c r="M313" s="30"/>
      <c r="N313" s="5"/>
      <c r="O313" s="5"/>
    </row>
    <row r="314" spans="1: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5"/>
      <c r="O314" s="5"/>
    </row>
    <row r="315" spans="1:15">
      <c r="A315" s="14" t="s">
        <v>78</v>
      </c>
      <c r="B315" s="15"/>
      <c r="C315" s="12" t="s">
        <v>1720</v>
      </c>
      <c r="D315" s="12"/>
      <c r="E315" s="12"/>
      <c r="F315" s="12"/>
      <c r="G315" s="12"/>
      <c r="H315" s="15"/>
      <c r="I315" s="15"/>
      <c r="J315" s="15"/>
      <c r="K315" s="15"/>
      <c r="L315" s="13">
        <v>14656</v>
      </c>
      <c r="M315" s="12" t="s">
        <v>1721</v>
      </c>
      <c r="N315" s="5">
        <f>SUM(B315:L316)</f>
        <v>38664</v>
      </c>
      <c r="O315" s="5"/>
    </row>
    <row r="316" spans="1:15">
      <c r="A316" s="13"/>
      <c r="B316" s="13"/>
      <c r="C316" s="13">
        <v>24008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5"/>
      <c r="O316" s="5"/>
    </row>
    <row r="317" spans="1: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5"/>
      <c r="O317" s="5"/>
    </row>
    <row r="318" spans="1:15">
      <c r="A318" s="33" t="s">
        <v>84</v>
      </c>
      <c r="B318" s="29" t="s">
        <v>1203</v>
      </c>
      <c r="C318" s="32" t="s">
        <v>547</v>
      </c>
      <c r="D318" s="29"/>
      <c r="E318" s="29" t="s">
        <v>1205</v>
      </c>
      <c r="F318" s="29" t="s">
        <v>1205</v>
      </c>
      <c r="G318" s="29" t="s">
        <v>1205</v>
      </c>
      <c r="H318" s="29" t="s">
        <v>529</v>
      </c>
      <c r="I318" s="29" t="s">
        <v>2006</v>
      </c>
      <c r="J318" s="29"/>
      <c r="K318" s="29"/>
      <c r="L318" s="30">
        <v>4299</v>
      </c>
      <c r="M318" s="32" t="s">
        <v>1207</v>
      </c>
      <c r="N318" s="5">
        <f>SUM(B318:L319)</f>
        <v>48408</v>
      </c>
      <c r="O318" s="5"/>
    </row>
    <row r="319" spans="1:15">
      <c r="A319" s="30"/>
      <c r="B319" s="30">
        <v>28567</v>
      </c>
      <c r="C319" s="30">
        <v>9271</v>
      </c>
      <c r="D319" s="30"/>
      <c r="E319" s="30">
        <v>2668</v>
      </c>
      <c r="F319" s="30">
        <v>1360</v>
      </c>
      <c r="G319" s="30">
        <v>450</v>
      </c>
      <c r="H319" s="30">
        <v>813</v>
      </c>
      <c r="I319" s="30">
        <v>980</v>
      </c>
      <c r="J319" s="30"/>
      <c r="K319" s="30"/>
      <c r="L319" s="30"/>
      <c r="M319" s="30"/>
      <c r="N319" s="5"/>
      <c r="O319" s="5"/>
    </row>
    <row r="320" spans="1: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5"/>
      <c r="O320" s="5"/>
    </row>
    <row r="321" spans="1:15">
      <c r="A321" s="14" t="s">
        <v>89</v>
      </c>
      <c r="B321" s="15" t="s">
        <v>1545</v>
      </c>
      <c r="C321" s="12" t="s">
        <v>1921</v>
      </c>
      <c r="D321" s="12" t="s">
        <v>1921</v>
      </c>
      <c r="E321" s="15" t="s">
        <v>1547</v>
      </c>
      <c r="F321" s="15" t="s">
        <v>1547</v>
      </c>
      <c r="G321" s="15" t="s">
        <v>1547</v>
      </c>
      <c r="H321" s="15"/>
      <c r="I321" s="15"/>
      <c r="J321" s="15"/>
      <c r="K321" s="15"/>
      <c r="L321" s="13">
        <v>4068</v>
      </c>
      <c r="M321" s="12" t="s">
        <v>1548</v>
      </c>
      <c r="N321" s="5">
        <f>SUM(B321:L322)</f>
        <v>43895</v>
      </c>
      <c r="O321" s="5"/>
    </row>
    <row r="322" spans="1:15">
      <c r="A322" s="13"/>
      <c r="B322" s="13">
        <v>23337</v>
      </c>
      <c r="C322" s="13">
        <v>8924</v>
      </c>
      <c r="D322" s="13">
        <v>1604</v>
      </c>
      <c r="E322" s="13">
        <v>4415</v>
      </c>
      <c r="F322" s="13">
        <v>681</v>
      </c>
      <c r="G322" s="13">
        <v>866</v>
      </c>
      <c r="H322" s="13"/>
      <c r="I322" s="13"/>
      <c r="J322" s="13"/>
      <c r="K322" s="13"/>
      <c r="L322" s="13"/>
      <c r="M322" s="13"/>
      <c r="N322" s="5"/>
      <c r="O322" s="5"/>
    </row>
    <row r="323" spans="1: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>
      <c r="A324" s="33" t="s">
        <v>96</v>
      </c>
      <c r="B324" s="29" t="s">
        <v>1211</v>
      </c>
      <c r="C324" s="32" t="s">
        <v>1922</v>
      </c>
      <c r="D324" s="32"/>
      <c r="E324" s="32" t="s">
        <v>1212</v>
      </c>
      <c r="F324" s="32"/>
      <c r="G324" s="29"/>
      <c r="H324" s="32"/>
      <c r="I324" s="32"/>
      <c r="J324" s="32"/>
      <c r="K324" s="29"/>
      <c r="L324" s="30">
        <v>6154</v>
      </c>
      <c r="M324" s="32" t="s">
        <v>1213</v>
      </c>
      <c r="N324" s="5">
        <f>SUM(B324:L325)</f>
        <v>41133</v>
      </c>
      <c r="O324" s="5"/>
    </row>
    <row r="325" spans="1:15">
      <c r="A325" s="30"/>
      <c r="B325" s="30">
        <v>23135</v>
      </c>
      <c r="C325" s="30">
        <v>8071</v>
      </c>
      <c r="D325" s="30"/>
      <c r="E325" s="30">
        <v>3773</v>
      </c>
      <c r="F325" s="30"/>
      <c r="G325" s="30"/>
      <c r="H325" s="30"/>
      <c r="I325" s="30"/>
      <c r="J325" s="30"/>
      <c r="K325" s="30"/>
      <c r="L325" s="30"/>
      <c r="M325" s="30"/>
      <c r="N325" s="5"/>
      <c r="O325" s="5"/>
    </row>
    <row r="326" spans="1: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5"/>
      <c r="O326" s="5"/>
    </row>
    <row r="327" spans="1:15">
      <c r="A327" s="14" t="s">
        <v>99</v>
      </c>
      <c r="B327" s="15"/>
      <c r="C327" s="12" t="s">
        <v>232</v>
      </c>
      <c r="D327" s="12"/>
      <c r="E327" s="12"/>
      <c r="F327" s="12"/>
      <c r="G327" s="12"/>
      <c r="H327" s="5"/>
      <c r="I327" s="5"/>
      <c r="J327" s="5"/>
      <c r="K327" s="15"/>
      <c r="L327" s="13">
        <v>16446</v>
      </c>
      <c r="M327" s="12" t="s">
        <v>240</v>
      </c>
      <c r="N327" s="5">
        <f>SUM(B327:L328)</f>
        <v>42103</v>
      </c>
      <c r="O327" s="5"/>
    </row>
    <row r="328" spans="1:15">
      <c r="A328" s="13"/>
      <c r="B328" s="13"/>
      <c r="C328" s="13">
        <v>25657</v>
      </c>
      <c r="D328" s="13"/>
      <c r="E328" s="13"/>
      <c r="F328" s="13"/>
      <c r="G328" s="14"/>
      <c r="H328" s="13"/>
      <c r="I328" s="13"/>
      <c r="J328" s="13"/>
      <c r="K328" s="13"/>
      <c r="L328" s="13"/>
      <c r="M328" s="13"/>
      <c r="N328" s="5"/>
      <c r="O328" s="5"/>
    </row>
    <row r="329" spans="1: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5"/>
      <c r="O329" s="5"/>
    </row>
    <row r="330" spans="1:15">
      <c r="A330" s="33" t="s">
        <v>111</v>
      </c>
      <c r="B330" s="29" t="s">
        <v>943</v>
      </c>
      <c r="C330" s="32" t="s">
        <v>1724</v>
      </c>
      <c r="D330" s="32" t="s">
        <v>1724</v>
      </c>
      <c r="E330" s="32" t="s">
        <v>943</v>
      </c>
      <c r="F330" s="32"/>
      <c r="G330" s="29"/>
      <c r="H330" s="32" t="s">
        <v>1724</v>
      </c>
      <c r="I330" s="32"/>
      <c r="J330" s="32"/>
      <c r="K330" s="29"/>
      <c r="L330" s="30">
        <v>3157</v>
      </c>
      <c r="M330" s="32" t="s">
        <v>1725</v>
      </c>
      <c r="N330" s="5">
        <f>SUM(B330:L331)</f>
        <v>53614</v>
      </c>
      <c r="O330" s="5"/>
    </row>
    <row r="331" spans="1:15">
      <c r="A331" s="30"/>
      <c r="B331" s="30">
        <v>20077</v>
      </c>
      <c r="C331" s="30">
        <v>22216</v>
      </c>
      <c r="D331" s="30">
        <v>3223</v>
      </c>
      <c r="E331" s="30">
        <v>3760</v>
      </c>
      <c r="F331" s="30"/>
      <c r="G331" s="30"/>
      <c r="H331" s="30">
        <v>1181</v>
      </c>
      <c r="I331" s="30"/>
      <c r="J331" s="30"/>
      <c r="K331" s="30"/>
      <c r="L331" s="30"/>
      <c r="M331" s="30"/>
      <c r="N331" s="5"/>
      <c r="O331" s="5"/>
    </row>
    <row r="332" spans="1: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5"/>
      <c r="O332" s="5"/>
    </row>
    <row r="333" spans="1:15">
      <c r="A333" s="14" t="s">
        <v>119</v>
      </c>
      <c r="B333" s="15" t="s">
        <v>1923</v>
      </c>
      <c r="C333" s="12" t="s">
        <v>1726</v>
      </c>
      <c r="D333" s="12" t="s">
        <v>1726</v>
      </c>
      <c r="E333" s="12" t="s">
        <v>1924</v>
      </c>
      <c r="F333" s="12"/>
      <c r="G333" s="15"/>
      <c r="H333" s="15"/>
      <c r="I333" s="15"/>
      <c r="J333" s="15"/>
      <c r="K333" s="15"/>
      <c r="L333" s="13">
        <v>4170</v>
      </c>
      <c r="M333" s="12" t="s">
        <v>1925</v>
      </c>
      <c r="N333" s="5">
        <f>SUM(B333:L334)</f>
        <v>52713</v>
      </c>
      <c r="O333" s="5"/>
    </row>
    <row r="334" spans="1:15">
      <c r="A334" s="13"/>
      <c r="B334" s="13">
        <v>15653</v>
      </c>
      <c r="C334" s="13">
        <v>26888</v>
      </c>
      <c r="D334" s="13">
        <v>2807</v>
      </c>
      <c r="E334" s="13">
        <v>3195</v>
      </c>
      <c r="F334" s="13"/>
      <c r="G334" s="13"/>
      <c r="H334" s="13"/>
      <c r="I334" s="13"/>
      <c r="J334" s="13"/>
      <c r="K334" s="13"/>
      <c r="L334" s="13"/>
      <c r="M334" s="13"/>
      <c r="N334" s="5"/>
      <c r="O334" s="5"/>
    </row>
    <row r="335" spans="1: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5"/>
      <c r="O335" s="5"/>
    </row>
    <row r="336" spans="1:15">
      <c r="A336" s="33" t="s">
        <v>127</v>
      </c>
      <c r="B336" s="29" t="s">
        <v>1926</v>
      </c>
      <c r="C336" s="32" t="s">
        <v>878</v>
      </c>
      <c r="D336" s="32" t="s">
        <v>878</v>
      </c>
      <c r="E336" s="32" t="s">
        <v>878</v>
      </c>
      <c r="F336" s="29" t="s">
        <v>1926</v>
      </c>
      <c r="G336" s="29" t="s">
        <v>1926</v>
      </c>
      <c r="H336" s="29"/>
      <c r="I336" s="29" t="s">
        <v>2007</v>
      </c>
      <c r="J336" s="29"/>
      <c r="K336" s="29"/>
      <c r="L336" s="30">
        <v>2982</v>
      </c>
      <c r="M336" s="32" t="s">
        <v>880</v>
      </c>
      <c r="N336" s="5">
        <f>SUM(B336:L337)</f>
        <v>49301</v>
      </c>
      <c r="O336" s="5"/>
    </row>
    <row r="337" spans="1:15">
      <c r="A337" s="30"/>
      <c r="B337" s="30">
        <v>10755</v>
      </c>
      <c r="C337" s="30">
        <v>27373</v>
      </c>
      <c r="D337" s="30">
        <v>2407</v>
      </c>
      <c r="E337" s="30">
        <v>3858</v>
      </c>
      <c r="F337" s="30">
        <v>416</v>
      </c>
      <c r="G337" s="30">
        <v>412</v>
      </c>
      <c r="H337" s="30"/>
      <c r="I337" s="30">
        <v>1098</v>
      </c>
      <c r="J337" s="30"/>
      <c r="K337" s="30"/>
      <c r="L337" s="30"/>
      <c r="M337" s="30"/>
      <c r="N337" s="5"/>
      <c r="O337" s="5"/>
    </row>
    <row r="338" spans="1: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5"/>
      <c r="O338" s="5"/>
    </row>
    <row r="339" spans="1:15">
      <c r="A339" s="14" t="s">
        <v>131</v>
      </c>
      <c r="B339" s="15" t="s">
        <v>1219</v>
      </c>
      <c r="C339" s="12" t="s">
        <v>1927</v>
      </c>
      <c r="D339" s="12"/>
      <c r="E339" s="12" t="s">
        <v>382</v>
      </c>
      <c r="F339" s="12"/>
      <c r="G339" s="15"/>
      <c r="H339" s="15"/>
      <c r="I339" s="15"/>
      <c r="J339" s="15"/>
      <c r="K339" s="12"/>
      <c r="L339" s="13">
        <v>3679</v>
      </c>
      <c r="M339" s="12" t="s">
        <v>132</v>
      </c>
      <c r="N339" s="5">
        <f>SUM(B339:L340)</f>
        <v>37153</v>
      </c>
      <c r="O339" s="5"/>
    </row>
    <row r="340" spans="1:15">
      <c r="A340" s="13"/>
      <c r="B340" s="13">
        <v>18551</v>
      </c>
      <c r="C340" s="13">
        <v>10518</v>
      </c>
      <c r="D340" s="13"/>
      <c r="E340" s="13">
        <v>4405</v>
      </c>
      <c r="F340" s="13"/>
      <c r="G340" s="13"/>
      <c r="H340" s="13"/>
      <c r="I340" s="13"/>
      <c r="J340" s="13"/>
      <c r="K340" s="13"/>
      <c r="L340" s="13"/>
      <c r="M340" s="13"/>
      <c r="N340" s="5"/>
      <c r="O340" s="5"/>
    </row>
    <row r="341" spans="1: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5"/>
      <c r="O341" s="5"/>
    </row>
    <row r="342" spans="1:15">
      <c r="A342" s="33" t="s">
        <v>137</v>
      </c>
      <c r="B342" s="29" t="s">
        <v>746</v>
      </c>
      <c r="C342" s="32" t="s">
        <v>1395</v>
      </c>
      <c r="D342" s="32" t="s">
        <v>1395</v>
      </c>
      <c r="E342" s="32" t="s">
        <v>1395</v>
      </c>
      <c r="F342" s="32"/>
      <c r="G342" s="29"/>
      <c r="H342" s="29"/>
      <c r="I342" s="29"/>
      <c r="J342" s="29"/>
      <c r="K342" s="32"/>
      <c r="L342" s="30">
        <v>5081</v>
      </c>
      <c r="M342" s="32" t="s">
        <v>1554</v>
      </c>
      <c r="N342" s="5">
        <f>SUM(B342:L343)</f>
        <v>41248</v>
      </c>
      <c r="O342" s="5"/>
    </row>
    <row r="343" spans="1:15">
      <c r="A343" s="30"/>
      <c r="B343" s="30">
        <v>9195</v>
      </c>
      <c r="C343" s="30">
        <v>21918</v>
      </c>
      <c r="D343" s="30">
        <v>2361</v>
      </c>
      <c r="E343" s="30">
        <v>2693</v>
      </c>
      <c r="F343" s="30"/>
      <c r="G343" s="30"/>
      <c r="H343" s="30"/>
      <c r="I343" s="30"/>
      <c r="J343" s="30"/>
      <c r="K343" s="30"/>
      <c r="L343" s="30"/>
      <c r="M343" s="30"/>
      <c r="N343" s="5"/>
      <c r="O343" s="5"/>
    </row>
    <row r="344" spans="1: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5"/>
      <c r="O344" s="5"/>
    </row>
    <row r="345" spans="1:15">
      <c r="A345" s="14" t="s">
        <v>146</v>
      </c>
      <c r="B345" s="15" t="s">
        <v>1409</v>
      </c>
      <c r="C345" s="12" t="s">
        <v>1222</v>
      </c>
      <c r="D345" s="12" t="s">
        <v>1403</v>
      </c>
      <c r="E345" s="12"/>
      <c r="F345" s="12" t="s">
        <v>2008</v>
      </c>
      <c r="G345" s="15"/>
      <c r="H345" s="15"/>
      <c r="I345" s="15" t="s">
        <v>597</v>
      </c>
      <c r="J345" s="15" t="s">
        <v>2009</v>
      </c>
      <c r="K345" s="15"/>
      <c r="L345" s="13">
        <v>4717</v>
      </c>
      <c r="M345" s="12" t="s">
        <v>1223</v>
      </c>
      <c r="N345" s="5">
        <f>SUM(B345:L346)</f>
        <v>45752</v>
      </c>
      <c r="O345" s="5"/>
    </row>
    <row r="346" spans="1:15">
      <c r="A346" s="13"/>
      <c r="B346" s="13">
        <v>8537</v>
      </c>
      <c r="C346" s="13">
        <v>21464</v>
      </c>
      <c r="D346" s="13">
        <v>9636</v>
      </c>
      <c r="E346" s="13"/>
      <c r="F346" s="13">
        <v>307</v>
      </c>
      <c r="G346" s="13"/>
      <c r="H346" s="13"/>
      <c r="I346" s="13">
        <v>624</v>
      </c>
      <c r="J346" s="13">
        <v>467</v>
      </c>
      <c r="K346" s="13"/>
      <c r="L346" s="13"/>
      <c r="M346" s="13"/>
      <c r="N346" s="5"/>
      <c r="O346" s="5"/>
    </row>
    <row r="347" spans="1: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5"/>
      <c r="O347" s="5"/>
    </row>
    <row r="348" spans="1:15">
      <c r="A348" s="33" t="s">
        <v>151</v>
      </c>
      <c r="B348" s="29" t="s">
        <v>1928</v>
      </c>
      <c r="C348" s="32" t="s">
        <v>1730</v>
      </c>
      <c r="D348" s="32" t="s">
        <v>1730</v>
      </c>
      <c r="E348" s="32" t="s">
        <v>1730</v>
      </c>
      <c r="F348" s="32"/>
      <c r="G348" s="29"/>
      <c r="H348" s="29"/>
      <c r="I348" s="29"/>
      <c r="J348" s="29"/>
      <c r="K348" s="29"/>
      <c r="L348" s="30">
        <v>3283</v>
      </c>
      <c r="M348" s="32" t="s">
        <v>1731</v>
      </c>
      <c r="N348" s="5">
        <f>SUM(B348:L349)</f>
        <v>36708</v>
      </c>
      <c r="O348" s="5"/>
    </row>
    <row r="349" spans="1:15">
      <c r="A349" s="30"/>
      <c r="B349" s="30">
        <v>8728</v>
      </c>
      <c r="C349" s="30">
        <v>21038</v>
      </c>
      <c r="D349" s="30">
        <v>1581</v>
      </c>
      <c r="E349" s="30">
        <v>2078</v>
      </c>
      <c r="F349" s="30"/>
      <c r="G349" s="30"/>
      <c r="H349" s="30"/>
      <c r="I349" s="30"/>
      <c r="J349" s="30"/>
      <c r="K349" s="30"/>
      <c r="L349" s="30"/>
      <c r="M349" s="30"/>
      <c r="N349" s="5"/>
      <c r="O349" s="5"/>
    </row>
    <row r="350" spans="1: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5"/>
      <c r="O350" s="5"/>
    </row>
    <row r="351" spans="1:15">
      <c r="A351" s="14" t="s">
        <v>157</v>
      </c>
      <c r="B351" s="15"/>
      <c r="C351" s="12" t="s">
        <v>1392</v>
      </c>
      <c r="D351" s="12" t="s">
        <v>1392</v>
      </c>
      <c r="E351" s="12" t="s">
        <v>1392</v>
      </c>
      <c r="F351" s="12" t="s">
        <v>1392</v>
      </c>
      <c r="G351" s="15"/>
      <c r="H351" s="15" t="s">
        <v>1929</v>
      </c>
      <c r="I351" s="15"/>
      <c r="J351" s="15"/>
      <c r="K351" s="15" t="s">
        <v>1930</v>
      </c>
      <c r="L351" s="13">
        <v>5238</v>
      </c>
      <c r="M351" s="12" t="s">
        <v>1394</v>
      </c>
      <c r="N351" s="5">
        <f>SUM(B351:L352)</f>
        <v>41425</v>
      </c>
      <c r="O351" s="5"/>
    </row>
    <row r="352" spans="1:15">
      <c r="A352" s="13"/>
      <c r="B352" s="13"/>
      <c r="C352" s="13">
        <v>17206</v>
      </c>
      <c r="D352" s="13">
        <v>1884</v>
      </c>
      <c r="E352" s="13">
        <v>1963</v>
      </c>
      <c r="F352" s="13">
        <v>425</v>
      </c>
      <c r="G352" s="13"/>
      <c r="H352" s="13">
        <v>1101</v>
      </c>
      <c r="I352" s="13"/>
      <c r="J352" s="13"/>
      <c r="K352" s="13">
        <v>13608</v>
      </c>
      <c r="L352" s="13"/>
      <c r="M352" s="13"/>
      <c r="N352" s="5"/>
      <c r="O352" s="5"/>
    </row>
    <row r="353" spans="1: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5"/>
      <c r="O353" s="5"/>
    </row>
    <row r="354" spans="1:15">
      <c r="A354" s="33" t="s">
        <v>165</v>
      </c>
      <c r="B354" s="29" t="s">
        <v>1225</v>
      </c>
      <c r="C354" s="32" t="s">
        <v>809</v>
      </c>
      <c r="D354" s="32" t="s">
        <v>809</v>
      </c>
      <c r="E354" s="32" t="s">
        <v>1226</v>
      </c>
      <c r="F354" s="32" t="s">
        <v>1226</v>
      </c>
      <c r="G354" s="29"/>
      <c r="H354" s="32"/>
      <c r="I354" s="32"/>
      <c r="J354" s="32"/>
      <c r="K354" s="29"/>
      <c r="L354" s="30">
        <v>2684</v>
      </c>
      <c r="M354" s="32" t="s">
        <v>1227</v>
      </c>
      <c r="N354" s="5">
        <f>SUM(B354:L355)</f>
        <v>34423</v>
      </c>
      <c r="O354" s="5"/>
    </row>
    <row r="355" spans="1:15">
      <c r="A355" s="30"/>
      <c r="B355" s="30">
        <v>17975</v>
      </c>
      <c r="C355" s="30">
        <v>8534</v>
      </c>
      <c r="D355" s="30">
        <v>1710</v>
      </c>
      <c r="E355" s="30">
        <v>2789</v>
      </c>
      <c r="F355" s="30">
        <v>731</v>
      </c>
      <c r="G355" s="30"/>
      <c r="H355" s="30"/>
      <c r="I355" s="30"/>
      <c r="J355" s="30"/>
      <c r="K355" s="30"/>
      <c r="L355" s="30"/>
      <c r="M355" s="30"/>
      <c r="N355" s="5"/>
      <c r="O355" s="5"/>
    </row>
    <row r="356" spans="1: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5"/>
      <c r="O356" s="5"/>
    </row>
    <row r="357" spans="1:15">
      <c r="A357" s="14" t="s">
        <v>169</v>
      </c>
      <c r="B357" s="15"/>
      <c r="C357" s="12" t="s">
        <v>233</v>
      </c>
      <c r="D357" s="15" t="s">
        <v>233</v>
      </c>
      <c r="E357" s="15" t="s">
        <v>233</v>
      </c>
      <c r="F357" s="15"/>
      <c r="G357" s="15"/>
      <c r="H357" s="15"/>
      <c r="I357" s="15"/>
      <c r="J357" s="15"/>
      <c r="K357" s="12"/>
      <c r="L357" s="13">
        <v>9669</v>
      </c>
      <c r="M357" s="12" t="s">
        <v>441</v>
      </c>
      <c r="N357" s="5">
        <f>SUM(B357:L358)</f>
        <v>39184</v>
      </c>
      <c r="O357" s="5"/>
    </row>
    <row r="358" spans="1:15">
      <c r="A358" s="13"/>
      <c r="B358" s="13"/>
      <c r="C358" s="13">
        <v>23214</v>
      </c>
      <c r="D358" s="13">
        <v>2400</v>
      </c>
      <c r="E358" s="13">
        <v>3901</v>
      </c>
      <c r="F358" s="13"/>
      <c r="G358" s="13"/>
      <c r="H358" s="13"/>
      <c r="I358" s="13"/>
      <c r="J358" s="13"/>
      <c r="K358" s="13"/>
      <c r="L358" s="13"/>
      <c r="M358" s="13"/>
      <c r="N358" s="5"/>
      <c r="O358" s="5"/>
    </row>
    <row r="359" spans="1: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5"/>
      <c r="O359" s="5"/>
    </row>
    <row r="360" spans="1:15">
      <c r="A360" s="33" t="s">
        <v>175</v>
      </c>
      <c r="B360" s="29" t="s">
        <v>1558</v>
      </c>
      <c r="C360" s="32" t="s">
        <v>1931</v>
      </c>
      <c r="D360" s="32" t="s">
        <v>1734</v>
      </c>
      <c r="E360" s="32" t="s">
        <v>1558</v>
      </c>
      <c r="F360" s="32" t="s">
        <v>1558</v>
      </c>
      <c r="G360" s="29"/>
      <c r="H360" s="32"/>
      <c r="I360" s="32" t="s">
        <v>1558</v>
      </c>
      <c r="J360" s="32" t="s">
        <v>2010</v>
      </c>
      <c r="K360" s="29" t="s">
        <v>1932</v>
      </c>
      <c r="L360" s="30">
        <v>1126</v>
      </c>
      <c r="M360" s="32" t="s">
        <v>1559</v>
      </c>
      <c r="N360" s="5">
        <f>SUM(B360:L361)</f>
        <v>35820</v>
      </c>
      <c r="O360" s="5"/>
    </row>
    <row r="361" spans="1:15">
      <c r="A361" s="30"/>
      <c r="B361" s="30">
        <v>14883</v>
      </c>
      <c r="C361" s="30">
        <v>15901</v>
      </c>
      <c r="D361" s="30">
        <v>782</v>
      </c>
      <c r="E361" s="30">
        <v>2048</v>
      </c>
      <c r="F361" s="30">
        <v>261</v>
      </c>
      <c r="G361" s="30"/>
      <c r="H361" s="30"/>
      <c r="I361" s="30">
        <v>302</v>
      </c>
      <c r="J361" s="30">
        <v>284</v>
      </c>
      <c r="K361" s="30">
        <v>233</v>
      </c>
      <c r="L361" s="30"/>
      <c r="M361" s="30"/>
      <c r="N361" s="5"/>
      <c r="O361" s="5"/>
    </row>
    <row r="362" spans="1: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5"/>
      <c r="O362" s="5"/>
    </row>
    <row r="363" spans="1:15">
      <c r="A363" s="14" t="s">
        <v>178</v>
      </c>
      <c r="B363" s="15" t="s">
        <v>1397</v>
      </c>
      <c r="C363" s="12" t="s">
        <v>1933</v>
      </c>
      <c r="D363" s="12" t="s">
        <v>1933</v>
      </c>
      <c r="E363" s="12" t="s">
        <v>1933</v>
      </c>
      <c r="F363" s="15" t="s">
        <v>1397</v>
      </c>
      <c r="G363" s="15"/>
      <c r="H363" s="15"/>
      <c r="I363" s="15"/>
      <c r="J363" s="15"/>
      <c r="K363" s="15" t="s">
        <v>1934</v>
      </c>
      <c r="L363" s="13">
        <v>1737</v>
      </c>
      <c r="M363" s="12" t="s">
        <v>1400</v>
      </c>
      <c r="N363" s="5">
        <f>SUM(B363:L364)</f>
        <v>39846</v>
      </c>
      <c r="O363" s="5"/>
    </row>
    <row r="364" spans="1:15">
      <c r="A364" s="13"/>
      <c r="B364" s="13">
        <v>21277</v>
      </c>
      <c r="C364" s="13">
        <v>12645</v>
      </c>
      <c r="D364" s="13">
        <v>1439</v>
      </c>
      <c r="E364" s="13">
        <v>1391</v>
      </c>
      <c r="F364" s="13">
        <v>1055</v>
      </c>
      <c r="G364" s="13"/>
      <c r="H364" s="13"/>
      <c r="I364" s="13"/>
      <c r="J364" s="13"/>
      <c r="K364" s="13">
        <v>302</v>
      </c>
      <c r="L364" s="13"/>
      <c r="M364" s="13"/>
      <c r="N364" s="5"/>
      <c r="O364" s="5"/>
    </row>
    <row r="365" spans="1: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5"/>
      <c r="O365" s="5"/>
    </row>
    <row r="366" spans="1:15">
      <c r="A366" s="30" t="s">
        <v>180</v>
      </c>
      <c r="B366" s="29" t="s">
        <v>191</v>
      </c>
      <c r="C366" s="29" t="s">
        <v>1935</v>
      </c>
      <c r="D366" s="29" t="s">
        <v>1935</v>
      </c>
      <c r="E366" s="29" t="s">
        <v>1935</v>
      </c>
      <c r="F366" s="29" t="s">
        <v>191</v>
      </c>
      <c r="G366" s="29"/>
      <c r="H366" s="29"/>
      <c r="I366" s="29"/>
      <c r="J366" s="29"/>
      <c r="K366" s="29" t="s">
        <v>1936</v>
      </c>
      <c r="L366" s="30">
        <v>2968</v>
      </c>
      <c r="M366" s="32" t="s">
        <v>192</v>
      </c>
      <c r="N366" s="5">
        <f>SUM(B366:L367)</f>
        <v>35342</v>
      </c>
      <c r="O366" s="5"/>
    </row>
    <row r="367" spans="1:15">
      <c r="A367" s="33"/>
      <c r="B367" s="30">
        <v>20430</v>
      </c>
      <c r="C367" s="30">
        <v>8339</v>
      </c>
      <c r="D367" s="30">
        <v>1232</v>
      </c>
      <c r="E367" s="30">
        <v>1220</v>
      </c>
      <c r="F367" s="30">
        <v>833</v>
      </c>
      <c r="G367" s="30"/>
      <c r="H367" s="30"/>
      <c r="I367" s="30"/>
      <c r="J367" s="30"/>
      <c r="K367" s="30">
        <v>320</v>
      </c>
      <c r="L367" s="30"/>
      <c r="M367" s="30"/>
      <c r="N367" s="5"/>
      <c r="O367" s="5"/>
    </row>
    <row r="368" spans="1:15">
      <c r="A368" s="14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5"/>
      <c r="O368" s="5"/>
    </row>
    <row r="369" spans="1:15">
      <c r="A369" s="13" t="s">
        <v>182</v>
      </c>
      <c r="B369" s="15" t="s">
        <v>1937</v>
      </c>
      <c r="C369" s="12" t="s">
        <v>1738</v>
      </c>
      <c r="D369" s="12" t="s">
        <v>1561</v>
      </c>
      <c r="E369" s="12" t="s">
        <v>1561</v>
      </c>
      <c r="F369" s="12" t="s">
        <v>1937</v>
      </c>
      <c r="G369" s="12"/>
      <c r="H369" s="15"/>
      <c r="I369" s="15"/>
      <c r="J369" s="15"/>
      <c r="K369" s="15"/>
      <c r="L369" s="13">
        <v>3045</v>
      </c>
      <c r="M369" s="12" t="s">
        <v>1938</v>
      </c>
      <c r="N369" s="5">
        <f>SUM(B369:L370)</f>
        <v>44839</v>
      </c>
      <c r="O369" s="5"/>
    </row>
    <row r="370" spans="1:15">
      <c r="A370" s="13"/>
      <c r="B370" s="13">
        <v>13971</v>
      </c>
      <c r="C370" s="13">
        <v>23552</v>
      </c>
      <c r="D370" s="13">
        <v>1410</v>
      </c>
      <c r="E370" s="13">
        <v>2065</v>
      </c>
      <c r="F370" s="13">
        <v>796</v>
      </c>
      <c r="G370" s="13"/>
      <c r="H370" s="13"/>
      <c r="I370" s="13"/>
      <c r="J370" s="13"/>
      <c r="K370" s="13"/>
      <c r="L370" s="13"/>
      <c r="M370" s="13"/>
      <c r="N370" s="5"/>
      <c r="O370" s="5"/>
    </row>
    <row r="371" spans="1: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5"/>
      <c r="O371" s="5"/>
    </row>
    <row r="372" spans="1:15">
      <c r="A372" s="33" t="s">
        <v>183</v>
      </c>
      <c r="B372" s="29" t="s">
        <v>738</v>
      </c>
      <c r="C372" s="32" t="s">
        <v>1403</v>
      </c>
      <c r="D372" s="32" t="s">
        <v>1403</v>
      </c>
      <c r="E372" s="32" t="s">
        <v>1939</v>
      </c>
      <c r="F372" s="32"/>
      <c r="G372" s="29"/>
      <c r="H372" s="32"/>
      <c r="I372" s="32"/>
      <c r="J372" s="32"/>
      <c r="K372" s="29"/>
      <c r="L372" s="30">
        <v>3819</v>
      </c>
      <c r="M372" s="32" t="s">
        <v>1404</v>
      </c>
      <c r="N372" s="5">
        <f>SUM(B372:L373)</f>
        <v>33443</v>
      </c>
      <c r="O372" s="5"/>
    </row>
    <row r="373" spans="1:15">
      <c r="A373" s="30"/>
      <c r="B373" s="30">
        <v>8353</v>
      </c>
      <c r="C373" s="30">
        <v>16757</v>
      </c>
      <c r="D373" s="30">
        <v>1823</v>
      </c>
      <c r="E373" s="30">
        <v>2691</v>
      </c>
      <c r="F373" s="30"/>
      <c r="G373" s="30"/>
      <c r="H373" s="30"/>
      <c r="I373" s="30"/>
      <c r="J373" s="30"/>
      <c r="K373" s="30"/>
      <c r="L373" s="30"/>
      <c r="M373" s="30"/>
      <c r="N373" s="5"/>
      <c r="O373" s="5"/>
    </row>
    <row r="374" spans="1: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5"/>
      <c r="O374" s="5"/>
    </row>
    <row r="375" spans="1:15">
      <c r="A375" s="13" t="s">
        <v>184</v>
      </c>
      <c r="B375" s="15"/>
      <c r="C375" s="15" t="s">
        <v>209</v>
      </c>
      <c r="D375" s="15" t="s">
        <v>209</v>
      </c>
      <c r="E375" s="15" t="s">
        <v>209</v>
      </c>
      <c r="F375" s="15"/>
      <c r="G375" s="15"/>
      <c r="H375" s="15" t="s">
        <v>587</v>
      </c>
      <c r="I375" s="15" t="s">
        <v>2011</v>
      </c>
      <c r="J375" s="15"/>
      <c r="K375" s="15"/>
      <c r="L375" s="13">
        <v>9470</v>
      </c>
      <c r="M375" s="12" t="s">
        <v>210</v>
      </c>
      <c r="N375" s="5">
        <f>SUM(B375:L376)</f>
        <v>39425</v>
      </c>
      <c r="O375" s="5"/>
    </row>
    <row r="376" spans="1:15">
      <c r="A376" s="13"/>
      <c r="B376" s="13"/>
      <c r="C376" s="13">
        <v>21514</v>
      </c>
      <c r="D376" s="13">
        <v>2115</v>
      </c>
      <c r="E376" s="13">
        <v>2886</v>
      </c>
      <c r="F376" s="13"/>
      <c r="G376" s="13"/>
      <c r="H376" s="13">
        <v>1481</v>
      </c>
      <c r="I376" s="13">
        <v>1959</v>
      </c>
      <c r="J376" s="13"/>
      <c r="K376" s="13"/>
      <c r="L376" s="13"/>
      <c r="M376" s="13"/>
      <c r="N376" s="5"/>
      <c r="O376" s="5"/>
    </row>
    <row r="377" spans="1: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5"/>
      <c r="O377" s="5"/>
    </row>
    <row r="378" spans="1:15">
      <c r="A378" s="30" t="s">
        <v>185</v>
      </c>
      <c r="B378" s="29" t="s">
        <v>1940</v>
      </c>
      <c r="C378" s="29" t="s">
        <v>234</v>
      </c>
      <c r="D378" s="29" t="s">
        <v>234</v>
      </c>
      <c r="E378" s="29" t="s">
        <v>234</v>
      </c>
      <c r="F378" s="29" t="s">
        <v>1940</v>
      </c>
      <c r="G378" s="29"/>
      <c r="H378" s="29"/>
      <c r="I378" s="29"/>
      <c r="J378" s="29"/>
      <c r="K378" s="29"/>
      <c r="L378" s="30">
        <v>4305</v>
      </c>
      <c r="M378" s="32" t="s">
        <v>1941</v>
      </c>
      <c r="N378" s="5">
        <f>SUM(B378:L379)</f>
        <v>42557</v>
      </c>
      <c r="O378" s="5"/>
    </row>
    <row r="379" spans="1:15">
      <c r="A379" s="30"/>
      <c r="B379" s="30">
        <v>14854</v>
      </c>
      <c r="C379" s="30">
        <v>18774</v>
      </c>
      <c r="D379" s="30">
        <v>2024</v>
      </c>
      <c r="E379" s="30">
        <v>2017</v>
      </c>
      <c r="F379" s="30">
        <v>583</v>
      </c>
      <c r="G379" s="30"/>
      <c r="H379" s="30"/>
      <c r="I379" s="30"/>
      <c r="J379" s="30"/>
      <c r="K379" s="30"/>
      <c r="L379" s="30"/>
      <c r="M379" s="30"/>
      <c r="N379" s="5"/>
      <c r="O379" s="5"/>
    </row>
    <row r="380" spans="1: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>
      <c r="A381" s="14" t="s">
        <v>7</v>
      </c>
      <c r="B381" s="15" t="s">
        <v>235</v>
      </c>
      <c r="C381" s="15" t="s">
        <v>1942</v>
      </c>
      <c r="D381" s="15" t="s">
        <v>1942</v>
      </c>
      <c r="E381" s="15" t="s">
        <v>1942</v>
      </c>
      <c r="F381" s="15" t="s">
        <v>235</v>
      </c>
      <c r="G381" s="15" t="s">
        <v>1943</v>
      </c>
      <c r="H381" s="15" t="s">
        <v>1944</v>
      </c>
      <c r="I381" s="15"/>
      <c r="J381" s="15"/>
      <c r="K381" s="15"/>
      <c r="L381" s="13">
        <v>2296</v>
      </c>
      <c r="M381" s="12" t="s">
        <v>236</v>
      </c>
      <c r="N381" s="5">
        <f>SUM(B381:L382)</f>
        <v>36356</v>
      </c>
      <c r="O381" s="5"/>
    </row>
    <row r="382" spans="1:15">
      <c r="A382" s="13"/>
      <c r="B382" s="13">
        <v>17435</v>
      </c>
      <c r="C382" s="13">
        <v>11617</v>
      </c>
      <c r="D382" s="13">
        <v>870</v>
      </c>
      <c r="E382" s="13">
        <v>1221</v>
      </c>
      <c r="F382" s="13">
        <v>2269</v>
      </c>
      <c r="G382" s="13">
        <v>348</v>
      </c>
      <c r="H382" s="13">
        <v>300</v>
      </c>
      <c r="I382" s="13"/>
      <c r="J382" s="13"/>
      <c r="K382" s="13"/>
      <c r="L382" s="13"/>
      <c r="M382" s="13"/>
      <c r="N382" s="5"/>
      <c r="O382" s="5"/>
    </row>
    <row r="383" spans="1: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5"/>
      <c r="O383" s="5"/>
    </row>
    <row r="384" spans="1:15">
      <c r="A384" s="33" t="s">
        <v>9</v>
      </c>
      <c r="B384" s="29" t="s">
        <v>237</v>
      </c>
      <c r="C384" s="32" t="s">
        <v>1742</v>
      </c>
      <c r="D384" s="32"/>
      <c r="E384" s="32" t="s">
        <v>1566</v>
      </c>
      <c r="F384" s="32" t="s">
        <v>237</v>
      </c>
      <c r="G384" s="29"/>
      <c r="H384" s="29"/>
      <c r="I384" s="29"/>
      <c r="J384" s="29"/>
      <c r="K384" s="29" t="s">
        <v>1946</v>
      </c>
      <c r="L384" s="30">
        <v>2182</v>
      </c>
      <c r="M384" s="32" t="s">
        <v>1945</v>
      </c>
      <c r="N384" s="5">
        <f>SUM(B384:L385)</f>
        <v>42415</v>
      </c>
      <c r="O384" s="5"/>
    </row>
    <row r="385" spans="1:15">
      <c r="A385" s="30"/>
      <c r="B385" s="30">
        <v>11944</v>
      </c>
      <c r="C385" s="30">
        <v>15260</v>
      </c>
      <c r="D385" s="30"/>
      <c r="E385" s="30">
        <v>11006</v>
      </c>
      <c r="F385" s="30">
        <v>1297</v>
      </c>
      <c r="G385" s="30"/>
      <c r="H385" s="30"/>
      <c r="I385" s="30"/>
      <c r="J385" s="30"/>
      <c r="K385" s="30">
        <v>726</v>
      </c>
      <c r="L385" s="30"/>
      <c r="M385" s="30"/>
      <c r="N385" s="5"/>
      <c r="O385" s="5"/>
    </row>
    <row r="386" spans="1: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5"/>
      <c r="O386" s="5"/>
    </row>
    <row r="387" spans="1:15">
      <c r="A387" s="14" t="s">
        <v>15</v>
      </c>
      <c r="B387" s="15" t="s">
        <v>1947</v>
      </c>
      <c r="C387" s="12" t="s">
        <v>1744</v>
      </c>
      <c r="D387" s="12" t="s">
        <v>1948</v>
      </c>
      <c r="E387" s="12"/>
      <c r="F387" s="12" t="s">
        <v>1947</v>
      </c>
      <c r="G387" s="15"/>
      <c r="H387" s="15"/>
      <c r="I387" s="15"/>
      <c r="J387" s="15"/>
      <c r="K387" s="15"/>
      <c r="L387" s="13">
        <v>5368</v>
      </c>
      <c r="M387" s="12" t="s">
        <v>1745</v>
      </c>
      <c r="N387" s="5">
        <f>SUM(B387:L388)</f>
        <v>42284</v>
      </c>
      <c r="O387" s="5"/>
    </row>
    <row r="388" spans="1:15">
      <c r="A388" s="13"/>
      <c r="B388" s="13">
        <v>10697</v>
      </c>
      <c r="C388" s="13">
        <v>21641</v>
      </c>
      <c r="D388" s="13">
        <v>3801</v>
      </c>
      <c r="E388" s="13"/>
      <c r="F388" s="13">
        <v>777</v>
      </c>
      <c r="G388" s="13"/>
      <c r="H388" s="13"/>
      <c r="I388" s="13"/>
      <c r="J388" s="13"/>
      <c r="K388" s="13"/>
      <c r="L388" s="13"/>
      <c r="M388" s="13"/>
      <c r="N388" s="5"/>
      <c r="O388" s="5"/>
    </row>
    <row r="389" spans="1: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5"/>
      <c r="O389" s="5"/>
    </row>
    <row r="390" spans="1:15">
      <c r="A390" s="33" t="s">
        <v>17</v>
      </c>
      <c r="B390" s="29"/>
      <c r="C390" s="32" t="s">
        <v>1237</v>
      </c>
      <c r="D390" s="32"/>
      <c r="E390" s="32"/>
      <c r="F390" s="32"/>
      <c r="G390" s="29"/>
      <c r="H390" s="32" t="s">
        <v>1949</v>
      </c>
      <c r="I390" s="32"/>
      <c r="J390" s="32"/>
      <c r="K390" s="29"/>
      <c r="L390" s="30">
        <v>10920</v>
      </c>
      <c r="M390" s="32" t="s">
        <v>18</v>
      </c>
      <c r="N390" s="5">
        <f>SUM(B390:L391)</f>
        <v>36998</v>
      </c>
      <c r="O390" s="5"/>
    </row>
    <row r="391" spans="1:15">
      <c r="A391" s="30"/>
      <c r="B391" s="30"/>
      <c r="C391" s="30">
        <v>24407</v>
      </c>
      <c r="D391" s="30"/>
      <c r="E391" s="30"/>
      <c r="F391" s="30"/>
      <c r="G391" s="30"/>
      <c r="H391" s="30">
        <v>1671</v>
      </c>
      <c r="I391" s="30"/>
      <c r="J391" s="30"/>
      <c r="K391" s="30"/>
      <c r="L391" s="30"/>
      <c r="M391" s="30"/>
      <c r="N391" s="5"/>
      <c r="O391" s="5"/>
    </row>
    <row r="392" spans="1: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5"/>
      <c r="O392" s="5"/>
    </row>
    <row r="393" spans="1:15">
      <c r="A393" s="14" t="s">
        <v>25</v>
      </c>
      <c r="B393" s="15" t="s">
        <v>1950</v>
      </c>
      <c r="C393" s="12" t="s">
        <v>211</v>
      </c>
      <c r="D393" s="12" t="s">
        <v>211</v>
      </c>
      <c r="E393" s="12" t="s">
        <v>211</v>
      </c>
      <c r="F393" s="12"/>
      <c r="G393" s="15"/>
      <c r="H393" s="12" t="s">
        <v>211</v>
      </c>
      <c r="I393" s="12"/>
      <c r="J393" s="12"/>
      <c r="K393" s="15"/>
      <c r="L393" s="13">
        <v>5040</v>
      </c>
      <c r="M393" s="12" t="s">
        <v>212</v>
      </c>
      <c r="N393" s="5">
        <f>SUM(B393:L394)</f>
        <v>41787</v>
      </c>
      <c r="O393" s="5"/>
    </row>
    <row r="394" spans="1:15">
      <c r="A394" s="13"/>
      <c r="B394" s="13">
        <v>10450</v>
      </c>
      <c r="C394" s="13">
        <v>20472</v>
      </c>
      <c r="D394" s="13">
        <v>1832</v>
      </c>
      <c r="E394" s="13">
        <v>3141</v>
      </c>
      <c r="F394" s="13"/>
      <c r="G394" s="13"/>
      <c r="H394" s="13">
        <v>852</v>
      </c>
      <c r="I394" s="13"/>
      <c r="J394" s="13"/>
      <c r="K394" s="13"/>
      <c r="L394" s="13"/>
      <c r="M394" s="13"/>
      <c r="N394" s="5"/>
      <c r="O394" s="5"/>
    </row>
    <row r="395" spans="1: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5"/>
      <c r="O395" s="5"/>
    </row>
    <row r="396" spans="1:15">
      <c r="A396" s="33" t="s">
        <v>31</v>
      </c>
      <c r="B396" s="29" t="s">
        <v>1748</v>
      </c>
      <c r="C396" s="32" t="s">
        <v>562</v>
      </c>
      <c r="D396" s="32" t="s">
        <v>562</v>
      </c>
      <c r="E396" s="32" t="s">
        <v>1951</v>
      </c>
      <c r="F396" s="32"/>
      <c r="G396" s="29"/>
      <c r="H396" s="32"/>
      <c r="I396" s="32"/>
      <c r="J396" s="32"/>
      <c r="K396" s="29"/>
      <c r="L396" s="30">
        <v>3714</v>
      </c>
      <c r="M396" s="32" t="s">
        <v>563</v>
      </c>
      <c r="N396" s="5">
        <f>SUM(B396:L397)</f>
        <v>46266</v>
      </c>
      <c r="O396" s="5"/>
    </row>
    <row r="397" spans="1:15">
      <c r="A397" s="30"/>
      <c r="B397" s="30">
        <v>14113</v>
      </c>
      <c r="C397" s="30">
        <v>23044</v>
      </c>
      <c r="D397" s="30">
        <v>3000</v>
      </c>
      <c r="E397" s="30">
        <v>2395</v>
      </c>
      <c r="F397" s="30"/>
      <c r="G397" s="30"/>
      <c r="H397" s="30"/>
      <c r="I397" s="30"/>
      <c r="J397" s="30"/>
      <c r="K397" s="30"/>
      <c r="L397" s="30"/>
      <c r="M397" s="30"/>
      <c r="N397" s="5"/>
      <c r="O397" s="5"/>
    </row>
    <row r="398" spans="1: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5"/>
      <c r="O398" s="5"/>
    </row>
    <row r="399" spans="1:15">
      <c r="A399" s="14" t="s">
        <v>35</v>
      </c>
      <c r="B399" s="15" t="s">
        <v>1408</v>
      </c>
      <c r="C399" s="12" t="s">
        <v>1749</v>
      </c>
      <c r="D399" s="12" t="s">
        <v>1749</v>
      </c>
      <c r="E399" s="12" t="s">
        <v>1749</v>
      </c>
      <c r="F399" s="12"/>
      <c r="G399" s="15"/>
      <c r="H399" s="15"/>
      <c r="I399" s="15"/>
      <c r="J399" s="15"/>
      <c r="K399" s="15"/>
      <c r="L399" s="13">
        <v>2643</v>
      </c>
      <c r="M399" s="12" t="s">
        <v>1411</v>
      </c>
      <c r="N399" s="5">
        <f>SUM(B399:L400)</f>
        <v>33476</v>
      </c>
      <c r="O399" s="5"/>
    </row>
    <row r="400" spans="1:15">
      <c r="A400" s="13"/>
      <c r="B400" s="13">
        <v>15822</v>
      </c>
      <c r="C400" s="13">
        <v>10667</v>
      </c>
      <c r="D400" s="13">
        <v>1580</v>
      </c>
      <c r="E400" s="13">
        <v>2764</v>
      </c>
      <c r="F400" s="13"/>
      <c r="G400" s="13"/>
      <c r="H400" s="13"/>
      <c r="I400" s="13"/>
      <c r="J400" s="13"/>
      <c r="K400" s="13"/>
      <c r="L400" s="13"/>
      <c r="M400" s="13"/>
      <c r="N400" s="5"/>
      <c r="O400" s="5"/>
    </row>
    <row r="401" spans="1:1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6">
      <c r="A402" s="30" t="s">
        <v>44</v>
      </c>
      <c r="B402" s="29" t="s">
        <v>194</v>
      </c>
      <c r="C402" s="29" t="s">
        <v>1952</v>
      </c>
      <c r="D402" s="29" t="s">
        <v>1952</v>
      </c>
      <c r="E402" s="29"/>
      <c r="F402" s="29"/>
      <c r="G402" s="29"/>
      <c r="H402" s="29"/>
      <c r="I402" s="29"/>
      <c r="J402" s="29"/>
      <c r="K402" s="30"/>
      <c r="L402" s="30">
        <v>6881</v>
      </c>
      <c r="M402" s="29" t="s">
        <v>45</v>
      </c>
      <c r="N402" s="13">
        <f>SUM(B402:L403)</f>
        <v>46789</v>
      </c>
      <c r="O402" s="13"/>
      <c r="P402" s="2"/>
    </row>
    <row r="403" spans="1:16">
      <c r="A403" s="30"/>
      <c r="B403" s="30">
        <v>26933</v>
      </c>
      <c r="C403" s="30">
        <v>11174</v>
      </c>
      <c r="D403" s="30">
        <v>1801</v>
      </c>
      <c r="E403" s="30"/>
      <c r="F403" s="30"/>
      <c r="G403" s="30"/>
      <c r="H403" s="30"/>
      <c r="I403" s="30"/>
      <c r="J403" s="30"/>
      <c r="K403" s="30"/>
      <c r="L403" s="30"/>
      <c r="M403" s="30"/>
      <c r="N403" s="13"/>
      <c r="O403" s="13"/>
      <c r="P403" s="2"/>
    </row>
    <row r="404" spans="1:16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2"/>
    </row>
    <row r="405" spans="1:16">
      <c r="A405" s="13" t="s">
        <v>49</v>
      </c>
      <c r="B405" s="15" t="s">
        <v>195</v>
      </c>
      <c r="C405" s="15"/>
      <c r="D405" s="15" t="s">
        <v>946</v>
      </c>
      <c r="E405" s="15" t="s">
        <v>481</v>
      </c>
      <c r="F405" s="15"/>
      <c r="G405" s="15"/>
      <c r="H405" s="13"/>
      <c r="I405" s="13"/>
      <c r="J405" s="13"/>
      <c r="K405" s="15"/>
      <c r="L405" s="13">
        <v>7270</v>
      </c>
      <c r="M405" s="15" t="s">
        <v>50</v>
      </c>
      <c r="N405" s="13">
        <f>SUM(B405:L406)</f>
        <v>25465</v>
      </c>
      <c r="O405" s="13"/>
      <c r="P405" s="2"/>
    </row>
    <row r="406" spans="1:16">
      <c r="A406" s="13"/>
      <c r="B406" s="13">
        <v>14872</v>
      </c>
      <c r="C406" s="13"/>
      <c r="D406" s="13">
        <v>1690</v>
      </c>
      <c r="E406" s="13">
        <v>1633</v>
      </c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2"/>
    </row>
    <row r="407" spans="1:16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2"/>
    </row>
    <row r="408" spans="1:16">
      <c r="A408" s="30" t="s">
        <v>57</v>
      </c>
      <c r="B408" s="29" t="s">
        <v>1953</v>
      </c>
      <c r="C408" s="29" t="s">
        <v>1051</v>
      </c>
      <c r="D408" s="29" t="s">
        <v>1051</v>
      </c>
      <c r="E408" s="29" t="s">
        <v>1051</v>
      </c>
      <c r="F408" s="29" t="s">
        <v>1953</v>
      </c>
      <c r="G408" s="29"/>
      <c r="H408" s="29" t="s">
        <v>1953</v>
      </c>
      <c r="I408" s="29"/>
      <c r="J408" s="29"/>
      <c r="K408" s="29"/>
      <c r="L408" s="30">
        <v>3928</v>
      </c>
      <c r="M408" s="29" t="s">
        <v>1052</v>
      </c>
      <c r="N408" s="13">
        <f>SUM(B408:L409)</f>
        <v>43343</v>
      </c>
      <c r="O408" s="13"/>
      <c r="P408" s="2"/>
    </row>
    <row r="409" spans="1:16">
      <c r="A409" s="30"/>
      <c r="B409" s="30">
        <v>13224</v>
      </c>
      <c r="C409" s="30">
        <v>17659</v>
      </c>
      <c r="D409" s="30">
        <v>2475</v>
      </c>
      <c r="E409" s="30">
        <v>4439</v>
      </c>
      <c r="F409" s="30">
        <v>563</v>
      </c>
      <c r="G409" s="30"/>
      <c r="H409" s="30">
        <v>1055</v>
      </c>
      <c r="I409" s="30"/>
      <c r="J409" s="30"/>
      <c r="K409" s="30"/>
      <c r="L409" s="30"/>
      <c r="M409" s="30"/>
      <c r="N409" s="13"/>
      <c r="O409" s="13"/>
      <c r="P409" s="2"/>
    </row>
    <row r="410" spans="1:16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2"/>
    </row>
    <row r="411" spans="1:16">
      <c r="A411" s="13" t="s">
        <v>60</v>
      </c>
      <c r="B411" s="15" t="s">
        <v>1053</v>
      </c>
      <c r="C411" s="15" t="s">
        <v>1954</v>
      </c>
      <c r="D411" s="15" t="s">
        <v>1954</v>
      </c>
      <c r="E411" s="15" t="s">
        <v>1053</v>
      </c>
      <c r="F411" s="15" t="s">
        <v>1053</v>
      </c>
      <c r="G411" s="15"/>
      <c r="H411" s="15"/>
      <c r="I411" s="15"/>
      <c r="J411" s="15"/>
      <c r="K411" s="15"/>
      <c r="L411" s="13">
        <v>2689</v>
      </c>
      <c r="M411" s="15" t="s">
        <v>1414</v>
      </c>
      <c r="N411" s="13">
        <f>SUM(B411:L412)</f>
        <v>50918</v>
      </c>
      <c r="O411" s="13"/>
      <c r="P411" s="2"/>
    </row>
    <row r="412" spans="1:16">
      <c r="A412" s="13"/>
      <c r="B412" s="13">
        <v>24720</v>
      </c>
      <c r="C412" s="13">
        <v>13529</v>
      </c>
      <c r="D412" s="13">
        <v>2225</v>
      </c>
      <c r="E412" s="13">
        <v>7005</v>
      </c>
      <c r="F412" s="13">
        <v>750</v>
      </c>
      <c r="G412" s="13"/>
      <c r="H412" s="13"/>
      <c r="I412" s="13"/>
      <c r="J412" s="13"/>
      <c r="K412" s="13"/>
      <c r="L412" s="13"/>
      <c r="M412" s="13"/>
      <c r="N412" s="13"/>
      <c r="O412" s="13"/>
      <c r="P412" s="2"/>
    </row>
    <row r="413" spans="1:16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2"/>
    </row>
    <row r="414" spans="1:16">
      <c r="A414" s="30" t="s">
        <v>66</v>
      </c>
      <c r="B414" s="29"/>
      <c r="C414" s="29" t="s">
        <v>1415</v>
      </c>
      <c r="D414" s="29" t="s">
        <v>1415</v>
      </c>
      <c r="E414" s="29"/>
      <c r="F414" s="29"/>
      <c r="G414" s="29"/>
      <c r="H414" s="29" t="s">
        <v>419</v>
      </c>
      <c r="I414" s="29"/>
      <c r="J414" s="29"/>
      <c r="K414" s="30"/>
      <c r="L414" s="30">
        <v>8204</v>
      </c>
      <c r="M414" s="29" t="s">
        <v>1416</v>
      </c>
      <c r="N414" s="13">
        <f>SUM(B414:L415)</f>
        <v>35382</v>
      </c>
      <c r="O414" s="13"/>
      <c r="P414" s="2"/>
    </row>
    <row r="415" spans="1:16">
      <c r="A415" s="30"/>
      <c r="B415" s="30"/>
      <c r="C415" s="30">
        <v>23834</v>
      </c>
      <c r="D415" s="30">
        <v>2088</v>
      </c>
      <c r="E415" s="30"/>
      <c r="F415" s="30"/>
      <c r="G415" s="30"/>
      <c r="H415" s="30">
        <v>1256</v>
      </c>
      <c r="I415" s="30"/>
      <c r="J415" s="30"/>
      <c r="K415" s="30"/>
      <c r="L415" s="30"/>
      <c r="M415" s="30"/>
      <c r="N415" s="13"/>
      <c r="O415" s="13"/>
      <c r="P415" s="2"/>
    </row>
    <row r="416" spans="1:16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2"/>
    </row>
    <row r="417" spans="1:16">
      <c r="A417" s="13" t="s">
        <v>74</v>
      </c>
      <c r="B417" s="15"/>
      <c r="C417" s="15" t="s">
        <v>1955</v>
      </c>
      <c r="D417" s="15"/>
      <c r="E417" s="15"/>
      <c r="F417" s="15" t="s">
        <v>1101</v>
      </c>
      <c r="G417" s="15"/>
      <c r="H417" s="15" t="s">
        <v>1956</v>
      </c>
      <c r="I417" s="15"/>
      <c r="J417" s="15"/>
      <c r="K417" s="15"/>
      <c r="L417" s="13">
        <v>9778</v>
      </c>
      <c r="M417" s="15" t="s">
        <v>1957</v>
      </c>
      <c r="N417" s="13">
        <f>SUM(B417:L418)</f>
        <v>36399</v>
      </c>
      <c r="O417" s="13"/>
      <c r="P417" s="2"/>
    </row>
    <row r="418" spans="1:16">
      <c r="A418" s="13"/>
      <c r="B418" s="13"/>
      <c r="C418" s="13">
        <v>23770</v>
      </c>
      <c r="D418" s="13"/>
      <c r="E418" s="13"/>
      <c r="F418" s="13">
        <v>1327</v>
      </c>
      <c r="G418" s="13"/>
      <c r="H418" s="13">
        <v>1524</v>
      </c>
      <c r="I418" s="13"/>
      <c r="J418" s="13"/>
      <c r="K418" s="13"/>
      <c r="L418" s="13"/>
      <c r="M418" s="13"/>
      <c r="N418" s="13"/>
      <c r="O418" s="13"/>
      <c r="P418" s="2"/>
    </row>
    <row r="419" spans="1:16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2"/>
    </row>
    <row r="420" spans="1:16">
      <c r="A420" s="30" t="s">
        <v>81</v>
      </c>
      <c r="B420" s="29" t="s">
        <v>1958</v>
      </c>
      <c r="C420" s="29" t="s">
        <v>1959</v>
      </c>
      <c r="D420" s="29" t="s">
        <v>1959</v>
      </c>
      <c r="E420" s="29" t="s">
        <v>1958</v>
      </c>
      <c r="F420" s="29" t="s">
        <v>1958</v>
      </c>
      <c r="G420" s="29" t="s">
        <v>1959</v>
      </c>
      <c r="H420" s="29" t="s">
        <v>1959</v>
      </c>
      <c r="I420" s="29"/>
      <c r="J420" s="29"/>
      <c r="K420" s="29"/>
      <c r="L420" s="30">
        <v>2513</v>
      </c>
      <c r="M420" s="29" t="s">
        <v>1960</v>
      </c>
      <c r="N420" s="13">
        <f>SUM(B420:L421)</f>
        <v>38791</v>
      </c>
      <c r="O420" s="13"/>
      <c r="P420" s="2"/>
    </row>
    <row r="421" spans="1:16">
      <c r="A421" s="30"/>
      <c r="B421" s="30">
        <v>19738</v>
      </c>
      <c r="C421" s="30">
        <v>10908</v>
      </c>
      <c r="D421" s="30">
        <v>1186</v>
      </c>
      <c r="E421" s="30">
        <v>2508</v>
      </c>
      <c r="F421" s="30">
        <v>783</v>
      </c>
      <c r="G421" s="30">
        <v>252</v>
      </c>
      <c r="H421" s="30">
        <v>903</v>
      </c>
      <c r="I421" s="30"/>
      <c r="J421" s="30"/>
      <c r="K421" s="30"/>
      <c r="L421" s="30"/>
      <c r="M421" s="30"/>
      <c r="N421" s="13"/>
      <c r="O421" s="13"/>
      <c r="P421" s="2"/>
    </row>
    <row r="422" spans="1:16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2"/>
    </row>
    <row r="423" spans="1:16">
      <c r="A423" s="13" t="s">
        <v>86</v>
      </c>
      <c r="B423" s="15"/>
      <c r="C423" s="15" t="s">
        <v>1752</v>
      </c>
      <c r="D423" s="15" t="s">
        <v>1752</v>
      </c>
      <c r="E423" s="15" t="s">
        <v>1752</v>
      </c>
      <c r="F423" s="15"/>
      <c r="G423" s="15"/>
      <c r="H423" s="15"/>
      <c r="I423" s="15"/>
      <c r="J423" s="15"/>
      <c r="K423" s="15"/>
      <c r="L423" s="13">
        <v>8356</v>
      </c>
      <c r="M423" s="15" t="s">
        <v>1753</v>
      </c>
      <c r="N423" s="13">
        <f>SUM(B423:L424)</f>
        <v>37467</v>
      </c>
      <c r="O423" s="13"/>
      <c r="P423" s="2"/>
    </row>
    <row r="424" spans="1:16">
      <c r="A424" s="13"/>
      <c r="B424" s="13"/>
      <c r="C424" s="13">
        <v>21638</v>
      </c>
      <c r="D424" s="13">
        <v>2531</v>
      </c>
      <c r="E424" s="13">
        <v>4942</v>
      </c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2"/>
    </row>
    <row r="425" spans="1:16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2"/>
    </row>
    <row r="426" spans="1:16">
      <c r="A426" s="30" t="s">
        <v>1576</v>
      </c>
      <c r="B426" s="29" t="s">
        <v>193</v>
      </c>
      <c r="C426" s="29" t="s">
        <v>1961</v>
      </c>
      <c r="D426" s="29" t="s">
        <v>193</v>
      </c>
      <c r="E426" s="29" t="s">
        <v>193</v>
      </c>
      <c r="F426" s="29"/>
      <c r="G426" s="29"/>
      <c r="H426" s="29" t="s">
        <v>1961</v>
      </c>
      <c r="I426" s="29"/>
      <c r="J426" s="29"/>
      <c r="K426" s="29"/>
      <c r="L426" s="30">
        <v>3714</v>
      </c>
      <c r="M426" s="29" t="s">
        <v>196</v>
      </c>
      <c r="N426" s="13">
        <f>SUM(B426:L427)</f>
        <v>43222</v>
      </c>
      <c r="O426" s="13"/>
      <c r="P426" s="2"/>
    </row>
    <row r="427" spans="1:16">
      <c r="A427" s="30"/>
      <c r="B427" s="30">
        <v>22830</v>
      </c>
      <c r="C427" s="30">
        <v>10694</v>
      </c>
      <c r="D427" s="30">
        <v>1875</v>
      </c>
      <c r="E427" s="30">
        <v>2970</v>
      </c>
      <c r="F427" s="30"/>
      <c r="G427" s="30"/>
      <c r="H427" s="30">
        <v>1139</v>
      </c>
      <c r="I427" s="30"/>
      <c r="J427" s="30"/>
      <c r="K427" s="30"/>
      <c r="L427" s="30"/>
      <c r="M427" s="30"/>
      <c r="N427" s="13"/>
      <c r="O427" s="13"/>
      <c r="P427" s="2"/>
    </row>
    <row r="428" spans="1:16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2"/>
    </row>
    <row r="429" spans="1:16">
      <c r="A429" s="13" t="s">
        <v>100</v>
      </c>
      <c r="B429" s="15" t="s">
        <v>1055</v>
      </c>
      <c r="C429" s="15" t="s">
        <v>1962</v>
      </c>
      <c r="D429" s="15" t="s">
        <v>1962</v>
      </c>
      <c r="E429" s="15" t="s">
        <v>1055</v>
      </c>
      <c r="F429" s="15"/>
      <c r="G429" s="15" t="s">
        <v>1055</v>
      </c>
      <c r="H429" s="13"/>
      <c r="I429" s="13"/>
      <c r="J429" s="13"/>
      <c r="K429" s="15" t="s">
        <v>1963</v>
      </c>
      <c r="L429" s="13">
        <v>3895</v>
      </c>
      <c r="M429" s="15" t="s">
        <v>1057</v>
      </c>
      <c r="N429" s="13">
        <f>SUM(B429:L430)</f>
        <v>32380</v>
      </c>
      <c r="O429" s="13"/>
      <c r="P429" s="2"/>
    </row>
    <row r="430" spans="1:16">
      <c r="A430" s="13"/>
      <c r="B430" s="13">
        <v>22078</v>
      </c>
      <c r="C430" s="13">
        <v>3409</v>
      </c>
      <c r="D430" s="13">
        <v>632</v>
      </c>
      <c r="E430" s="13">
        <v>1409</v>
      </c>
      <c r="F430" s="13"/>
      <c r="G430" s="13">
        <v>533</v>
      </c>
      <c r="H430" s="13"/>
      <c r="I430" s="13"/>
      <c r="J430" s="13"/>
      <c r="K430" s="13">
        <v>424</v>
      </c>
      <c r="L430" s="13"/>
      <c r="M430" s="13"/>
      <c r="N430" s="13"/>
      <c r="O430" s="13"/>
      <c r="P430" s="2"/>
    </row>
    <row r="431" spans="1:16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2"/>
    </row>
    <row r="432" spans="1:16">
      <c r="A432" s="30" t="s">
        <v>105</v>
      </c>
      <c r="B432" s="29"/>
      <c r="C432" s="29" t="s">
        <v>1755</v>
      </c>
      <c r="D432" s="29" t="s">
        <v>1755</v>
      </c>
      <c r="E432" s="29"/>
      <c r="F432" s="29"/>
      <c r="G432" s="29"/>
      <c r="H432" s="29" t="s">
        <v>1755</v>
      </c>
      <c r="I432" s="29" t="s">
        <v>2012</v>
      </c>
      <c r="J432" s="29"/>
      <c r="K432" s="29"/>
      <c r="L432" s="30">
        <v>13225</v>
      </c>
      <c r="M432" s="29" t="s">
        <v>1757</v>
      </c>
      <c r="N432" s="13">
        <f>SUM(B432:L433)</f>
        <v>43485</v>
      </c>
      <c r="O432" s="13"/>
      <c r="P432" s="2"/>
    </row>
    <row r="433" spans="1:16">
      <c r="A433" s="30"/>
      <c r="B433" s="30"/>
      <c r="C433" s="30">
        <v>23764</v>
      </c>
      <c r="D433" s="30">
        <v>3073</v>
      </c>
      <c r="E433" s="30"/>
      <c r="F433" s="30"/>
      <c r="G433" s="30"/>
      <c r="H433" s="30">
        <v>1747</v>
      </c>
      <c r="I433" s="30">
        <v>1676</v>
      </c>
      <c r="J433" s="30"/>
      <c r="K433" s="30"/>
      <c r="L433" s="30"/>
      <c r="M433" s="30"/>
      <c r="N433" s="13"/>
      <c r="O433" s="13"/>
      <c r="P433" s="2"/>
    </row>
    <row r="434" spans="1:16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2"/>
    </row>
    <row r="435" spans="1:16">
      <c r="A435" s="13" t="s">
        <v>115</v>
      </c>
      <c r="B435" s="15" t="s">
        <v>1758</v>
      </c>
      <c r="C435" s="15" t="s">
        <v>1964</v>
      </c>
      <c r="D435" s="15" t="s">
        <v>1758</v>
      </c>
      <c r="E435" s="15" t="s">
        <v>1758</v>
      </c>
      <c r="F435" s="15" t="s">
        <v>1758</v>
      </c>
      <c r="G435" s="15"/>
      <c r="H435" s="15"/>
      <c r="I435" s="15"/>
      <c r="J435" s="15"/>
      <c r="K435" s="15"/>
      <c r="L435" s="13">
        <v>5890</v>
      </c>
      <c r="M435" s="15" t="s">
        <v>1760</v>
      </c>
      <c r="N435" s="13">
        <f>SUM(B435:L436)</f>
        <v>42263</v>
      </c>
      <c r="O435" s="13"/>
      <c r="P435" s="2"/>
    </row>
    <row r="436" spans="1:16">
      <c r="A436" s="13"/>
      <c r="B436" s="13">
        <v>21317</v>
      </c>
      <c r="C436" s="13">
        <v>9009</v>
      </c>
      <c r="D436" s="13">
        <v>2034</v>
      </c>
      <c r="E436" s="13">
        <v>3041</v>
      </c>
      <c r="F436" s="13">
        <v>972</v>
      </c>
      <c r="G436" s="13"/>
      <c r="H436" s="13"/>
      <c r="I436" s="13"/>
      <c r="J436" s="13"/>
      <c r="K436" s="13"/>
      <c r="L436" s="13"/>
      <c r="M436" s="13"/>
      <c r="N436" s="13"/>
      <c r="O436" s="13"/>
      <c r="P436" s="2"/>
    </row>
    <row r="437" spans="1:16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2"/>
    </row>
    <row r="438" spans="1:16">
      <c r="A438" s="30" t="s">
        <v>123</v>
      </c>
      <c r="B438" s="29" t="s">
        <v>1253</v>
      </c>
      <c r="C438" s="29" t="s">
        <v>1761</v>
      </c>
      <c r="D438" s="29" t="s">
        <v>1761</v>
      </c>
      <c r="E438" s="29" t="s">
        <v>1253</v>
      </c>
      <c r="F438" s="29" t="s">
        <v>1253</v>
      </c>
      <c r="G438" s="29" t="s">
        <v>1253</v>
      </c>
      <c r="H438" s="30"/>
      <c r="I438" s="30"/>
      <c r="J438" s="30"/>
      <c r="K438" s="29"/>
      <c r="L438" s="30">
        <v>4082</v>
      </c>
      <c r="M438" s="29" t="s">
        <v>1257</v>
      </c>
      <c r="N438" s="13">
        <f>SUM(B438:L439)</f>
        <v>35442</v>
      </c>
      <c r="O438" s="13"/>
      <c r="P438" s="2"/>
    </row>
    <row r="439" spans="1:16">
      <c r="A439" s="30"/>
      <c r="B439" s="30">
        <v>18733</v>
      </c>
      <c r="C439" s="30">
        <v>7549</v>
      </c>
      <c r="D439" s="30">
        <v>1117</v>
      </c>
      <c r="E439" s="30">
        <v>2054</v>
      </c>
      <c r="F439" s="30">
        <v>1111</v>
      </c>
      <c r="G439" s="30">
        <v>796</v>
      </c>
      <c r="H439" s="30"/>
      <c r="I439" s="30"/>
      <c r="J439" s="30"/>
      <c r="K439" s="30"/>
      <c r="L439" s="30"/>
      <c r="M439" s="30"/>
      <c r="N439" s="13"/>
      <c r="O439" s="13"/>
      <c r="P439" s="2"/>
    </row>
    <row r="440" spans="1:16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2"/>
    </row>
    <row r="441" spans="1:16">
      <c r="A441" s="13" t="s">
        <v>129</v>
      </c>
      <c r="B441" s="15" t="s">
        <v>1965</v>
      </c>
      <c r="C441" s="15" t="s">
        <v>1762</v>
      </c>
      <c r="D441" s="15" t="s">
        <v>1965</v>
      </c>
      <c r="E441" s="15" t="s">
        <v>1965</v>
      </c>
      <c r="F441" s="15" t="s">
        <v>1965</v>
      </c>
      <c r="G441" s="15"/>
      <c r="H441" s="15"/>
      <c r="I441" s="15"/>
      <c r="J441" s="15"/>
      <c r="K441" s="15"/>
      <c r="L441" s="13">
        <v>5566</v>
      </c>
      <c r="M441" s="15" t="s">
        <v>1966</v>
      </c>
      <c r="N441" s="13">
        <f>SUM(B441:L442)</f>
        <v>45200</v>
      </c>
      <c r="O441" s="13"/>
      <c r="P441" s="2"/>
    </row>
    <row r="442" spans="1:16">
      <c r="A442" s="13"/>
      <c r="B442" s="13">
        <v>24098</v>
      </c>
      <c r="C442" s="13">
        <v>9259</v>
      </c>
      <c r="D442" s="13">
        <v>2323</v>
      </c>
      <c r="E442" s="13">
        <v>2892</v>
      </c>
      <c r="F442" s="13">
        <v>1062</v>
      </c>
      <c r="G442" s="13"/>
      <c r="H442" s="13"/>
      <c r="I442" s="13"/>
      <c r="J442" s="13"/>
      <c r="K442" s="13"/>
      <c r="L442" s="13"/>
      <c r="M442" s="13"/>
      <c r="N442" s="13"/>
      <c r="O442" s="13"/>
      <c r="P442" s="2"/>
    </row>
    <row r="443" spans="1:16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2"/>
    </row>
    <row r="444" spans="1:16">
      <c r="A444" s="30" t="s">
        <v>135</v>
      </c>
      <c r="B444" s="29" t="s">
        <v>587</v>
      </c>
      <c r="C444" s="29" t="s">
        <v>1967</v>
      </c>
      <c r="D444" s="29" t="s">
        <v>587</v>
      </c>
      <c r="E444" s="29" t="s">
        <v>587</v>
      </c>
      <c r="F444" s="29" t="s">
        <v>587</v>
      </c>
      <c r="G444" s="29"/>
      <c r="H444" s="29"/>
      <c r="I444" s="29"/>
      <c r="J444" s="29"/>
      <c r="K444" s="29" t="s">
        <v>1969</v>
      </c>
      <c r="L444" s="30">
        <v>5229</v>
      </c>
      <c r="M444" s="29" t="s">
        <v>1968</v>
      </c>
      <c r="N444" s="13">
        <f>SUM(B444:L445)</f>
        <v>42959</v>
      </c>
      <c r="O444" s="13"/>
      <c r="P444" s="2"/>
    </row>
    <row r="445" spans="1:16">
      <c r="A445" s="30"/>
      <c r="B445" s="30">
        <v>17907</v>
      </c>
      <c r="C445" s="30">
        <v>13649</v>
      </c>
      <c r="D445" s="30">
        <v>2509</v>
      </c>
      <c r="E445" s="30">
        <v>2491</v>
      </c>
      <c r="F445" s="30">
        <v>819</v>
      </c>
      <c r="G445" s="30"/>
      <c r="H445" s="30"/>
      <c r="I445" s="30"/>
      <c r="J445" s="30"/>
      <c r="K445" s="30">
        <v>355</v>
      </c>
      <c r="L445" s="30"/>
      <c r="M445" s="30"/>
      <c r="N445" s="13"/>
      <c r="O445" s="13"/>
      <c r="P445" s="2"/>
    </row>
    <row r="446" spans="1:16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2"/>
    </row>
    <row r="447" spans="1:16">
      <c r="A447" s="13" t="s">
        <v>143</v>
      </c>
      <c r="B447" s="15" t="s">
        <v>1970</v>
      </c>
      <c r="C447" s="15" t="s">
        <v>1265</v>
      </c>
      <c r="D447" s="15" t="s">
        <v>1265</v>
      </c>
      <c r="E447" s="15" t="s">
        <v>1265</v>
      </c>
      <c r="F447" s="15"/>
      <c r="G447" s="15"/>
      <c r="H447" s="15"/>
      <c r="I447" s="15"/>
      <c r="J447" s="15"/>
      <c r="K447" s="13"/>
      <c r="L447" s="13">
        <v>3966</v>
      </c>
      <c r="M447" s="15" t="s">
        <v>1266</v>
      </c>
      <c r="N447" s="13">
        <f>SUM(B447:L448)</f>
        <v>37145</v>
      </c>
      <c r="O447" s="13"/>
      <c r="P447" s="2"/>
    </row>
    <row r="448" spans="1:16">
      <c r="A448" s="13"/>
      <c r="B448" s="13">
        <v>9088</v>
      </c>
      <c r="C448" s="13">
        <v>19315</v>
      </c>
      <c r="D448" s="13">
        <v>1860</v>
      </c>
      <c r="E448" s="13">
        <v>2916</v>
      </c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2"/>
    </row>
    <row r="449" spans="1:16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2"/>
    </row>
    <row r="450" spans="1:16">
      <c r="A450" s="30" t="s">
        <v>149</v>
      </c>
      <c r="B450" s="29" t="s">
        <v>1971</v>
      </c>
      <c r="C450" s="29" t="s">
        <v>545</v>
      </c>
      <c r="D450" s="29" t="s">
        <v>545</v>
      </c>
      <c r="E450" s="29" t="s">
        <v>1971</v>
      </c>
      <c r="F450" s="29" t="s">
        <v>545</v>
      </c>
      <c r="G450" s="29"/>
      <c r="H450" s="29"/>
      <c r="I450" s="29" t="s">
        <v>1971</v>
      </c>
      <c r="J450" s="29"/>
      <c r="K450" s="29"/>
      <c r="L450" s="30">
        <v>3391</v>
      </c>
      <c r="M450" s="29" t="s">
        <v>1268</v>
      </c>
      <c r="N450" s="13">
        <f>SUM(B450:L451)</f>
        <v>44373</v>
      </c>
      <c r="O450" s="13"/>
      <c r="P450" s="2"/>
    </row>
    <row r="451" spans="1:16">
      <c r="A451" s="30"/>
      <c r="B451" s="30">
        <v>14514</v>
      </c>
      <c r="C451" s="30">
        <v>21044</v>
      </c>
      <c r="D451" s="30">
        <v>2237</v>
      </c>
      <c r="E451" s="30">
        <v>1935</v>
      </c>
      <c r="F451" s="30">
        <v>566</v>
      </c>
      <c r="G451" s="30"/>
      <c r="H451" s="30"/>
      <c r="I451" s="30">
        <v>686</v>
      </c>
      <c r="J451" s="30"/>
      <c r="K451" s="30"/>
      <c r="L451" s="30"/>
      <c r="M451" s="30"/>
      <c r="N451" s="13"/>
      <c r="O451" s="13"/>
      <c r="P451" s="2"/>
    </row>
    <row r="452" spans="1:16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2"/>
    </row>
    <row r="453" spans="1:16">
      <c r="A453" s="13" t="s">
        <v>155</v>
      </c>
      <c r="B453" s="15"/>
      <c r="C453" s="15" t="s">
        <v>1314</v>
      </c>
      <c r="D453" s="15" t="s">
        <v>1314</v>
      </c>
      <c r="E453" s="15" t="s">
        <v>1314</v>
      </c>
      <c r="F453" s="15"/>
      <c r="G453" s="15"/>
      <c r="H453" s="13"/>
      <c r="I453" s="13"/>
      <c r="J453" s="13"/>
      <c r="K453" s="13"/>
      <c r="L453" s="13">
        <v>7729</v>
      </c>
      <c r="M453" s="15" t="s">
        <v>1972</v>
      </c>
      <c r="N453" s="13">
        <f>SUM(B453:L454)</f>
        <v>34173</v>
      </c>
      <c r="O453" s="13"/>
      <c r="P453" s="2"/>
    </row>
    <row r="454" spans="1:16">
      <c r="A454" s="13"/>
      <c r="B454" s="13"/>
      <c r="C454" s="13">
        <v>21496</v>
      </c>
      <c r="D454" s="13">
        <v>2092</v>
      </c>
      <c r="E454" s="13">
        <v>2856</v>
      </c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2"/>
    </row>
    <row r="455" spans="1:16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2"/>
    </row>
    <row r="456" spans="1:16">
      <c r="A456" s="30" t="s">
        <v>162</v>
      </c>
      <c r="B456" s="29" t="s">
        <v>1430</v>
      </c>
      <c r="C456" s="29"/>
      <c r="D456" s="29"/>
      <c r="E456" s="29" t="s">
        <v>1430</v>
      </c>
      <c r="F456" s="29"/>
      <c r="G456" s="29"/>
      <c r="H456" s="30"/>
      <c r="I456" s="30"/>
      <c r="J456" s="30"/>
      <c r="K456" s="30"/>
      <c r="L456" s="30">
        <v>16364</v>
      </c>
      <c r="M456" s="29" t="s">
        <v>1431</v>
      </c>
      <c r="N456" s="13">
        <f>SUM(B456:L457)</f>
        <v>34527</v>
      </c>
      <c r="O456" s="13"/>
      <c r="P456" s="2"/>
    </row>
    <row r="457" spans="1:16">
      <c r="A457" s="30"/>
      <c r="B457" s="30">
        <v>14733</v>
      </c>
      <c r="C457" s="30"/>
      <c r="D457" s="30"/>
      <c r="E457" s="30">
        <v>3430</v>
      </c>
      <c r="F457" s="30"/>
      <c r="G457" s="30"/>
      <c r="H457" s="30"/>
      <c r="I457" s="30"/>
      <c r="J457" s="30"/>
      <c r="K457" s="30"/>
      <c r="L457" s="30"/>
      <c r="M457" s="30"/>
      <c r="N457" s="13"/>
      <c r="O457" s="13"/>
      <c r="P457" s="2"/>
    </row>
    <row r="458" spans="1:1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3"/>
      <c r="O458" s="13"/>
      <c r="P458" s="2"/>
    </row>
    <row r="459" spans="1:16">
      <c r="A459" s="19" t="s">
        <v>171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2"/>
    </row>
    <row r="460" spans="1:16">
      <c r="A460" s="19" t="s">
        <v>1973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2"/>
    </row>
    <row r="461" spans="1:16">
      <c r="A461" s="13" t="s">
        <v>1974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2"/>
    </row>
    <row r="462" spans="1:16">
      <c r="A462" s="13" t="s">
        <v>1975</v>
      </c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2"/>
    </row>
    <row r="463" spans="1:16">
      <c r="A463" s="13" t="s">
        <v>1976</v>
      </c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2"/>
    </row>
    <row r="464" spans="1:16">
      <c r="A464" s="13" t="s">
        <v>1977</v>
      </c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2"/>
    </row>
    <row r="465" spans="1:16">
      <c r="A465" s="13" t="s">
        <v>1978</v>
      </c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2"/>
    </row>
    <row r="466" spans="1:16">
      <c r="A466" s="13" t="s">
        <v>1778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2"/>
    </row>
    <row r="467" spans="1:16">
      <c r="A467" s="13" t="s">
        <v>1979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2"/>
    </row>
    <row r="468" spans="1:16">
      <c r="A468" s="13" t="s">
        <v>1980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2"/>
    </row>
    <row r="469" spans="1:16">
      <c r="A469" s="13" t="s">
        <v>1981</v>
      </c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2"/>
    </row>
    <row r="470" spans="1:16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2"/>
    </row>
    <row r="471" spans="1:16">
      <c r="A471" s="56" t="s">
        <v>1597</v>
      </c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2"/>
    </row>
    <row r="472" spans="1:1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</sheetData>
  <hyperlinks>
    <hyperlink ref="A471" r:id="rId1"/>
  </hyperlinks>
  <pageMargins left="0.7" right="0.7" top="0.75" bottom="0.75" header="0.3" footer="0.3"/>
  <pageSetup scale="47" fitToHeight="1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2018</vt:lpstr>
      <vt:lpstr>2016</vt:lpstr>
      <vt:lpstr>2014</vt:lpstr>
      <vt:lpstr>2012</vt:lpstr>
      <vt:lpstr>2010</vt:lpstr>
      <vt:lpstr>2008</vt:lpstr>
      <vt:lpstr>2006</vt:lpstr>
      <vt:lpstr>2004</vt:lpstr>
      <vt:lpstr>2002</vt:lpstr>
      <vt:lpstr>2000</vt:lpstr>
      <vt:lpstr>1998</vt:lpstr>
      <vt:lpstr>1996</vt:lpstr>
      <vt:lpstr>'1996'!Print_Area</vt:lpstr>
      <vt:lpstr>'1998'!Print_Area</vt:lpstr>
      <vt:lpstr>'2000'!Print_Area</vt:lpstr>
      <vt:lpstr>'2002'!Print_Area</vt:lpstr>
      <vt:lpstr>'2004'!Print_Area</vt:lpstr>
      <vt:lpstr>'2006'!Print_Area</vt:lpstr>
      <vt:lpstr>'2008'!Print_Area</vt:lpstr>
      <vt:lpstr>'2010'!Print_Area</vt:lpstr>
      <vt:lpstr>'2012'!Print_Area</vt:lpstr>
      <vt:lpstr>'2014'!Print_Area</vt:lpstr>
      <vt:lpstr>'2016'!Print_Area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2019-05-14T15:26:51Z</cp:lastPrinted>
  <dcterms:created xsi:type="dcterms:W3CDTF">2004-03-09T16:54:38Z</dcterms:created>
  <dcterms:modified xsi:type="dcterms:W3CDTF">2022-03-01T14:02:01Z</dcterms:modified>
</cp:coreProperties>
</file>